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townofmontaguema.sharepoint.com/sites/GRP_ACCOUNTING/Shared Documents/Files/Budgets/FY24 Budget/"/>
    </mc:Choice>
  </mc:AlternateContent>
  <xr:revisionPtr revIDLastSave="27" documentId="8_{A54B0AA5-7528-459C-8764-B5371206F5A2}" xr6:coauthVersionLast="47" xr6:coauthVersionMax="47" xr10:uidLastSave="{0BE011CE-F461-40F7-BE82-2E5C3522E00A}"/>
  <bookViews>
    <workbookView xWindow="-108" yWindow="-108" windowWidth="23256" windowHeight="12576" activeTab="6" xr2:uid="{00000000-000D-0000-FFFF-FFFF00000000}"/>
  </bookViews>
  <sheets>
    <sheet name="190 Publ Bldg Utilities" sheetId="87" r:id="rId1"/>
    <sheet name="420 DPW" sheetId="15" r:id="rId2"/>
    <sheet name="192 Public Bldgs" sheetId="56" r:id="rId3"/>
    <sheet name="422 Maintenance" sheetId="17" r:id="rId4"/>
    <sheet name="652 Parks" sheetId="23" r:id="rId5"/>
    <sheet name="423 Snow" sheetId="18" r:id="rId6"/>
    <sheet name="433 Solid Waste" sheetId="22" r:id="rId7"/>
    <sheet name="661 449 Hwy" sheetId="5" r:id="rId8"/>
    <sheet name="NAGE &amp; Non-Union Wages" sheetId="141" r:id="rId9"/>
    <sheet name="UE Wages" sheetId="161" r:id="rId10"/>
  </sheets>
  <definedNames>
    <definedName name="_xlnm.Print_Area" localSheetId="0">'190 Publ Bldg Utilities'!$A$1:$S$73</definedName>
    <definedName name="_xlnm.Print_Area" localSheetId="2">'192 Public Bldgs'!$A$1:$S$41</definedName>
    <definedName name="_xlnm.Print_Area" localSheetId="1">'420 DPW'!$A$8:$S$99</definedName>
    <definedName name="_xlnm.Print_Area" localSheetId="3">'422 Maintenance'!$A$1:$S$100</definedName>
    <definedName name="_xlnm.Print_Area" localSheetId="5">'423 Snow'!$A$1:$S$32</definedName>
    <definedName name="_xlnm.Print_Area" localSheetId="6">'433 Solid Waste'!$A$1:$S$49</definedName>
    <definedName name="_xlnm.Print_Area" localSheetId="4">'652 Parks'!$A$1:$S$31</definedName>
    <definedName name="_xlnm.Print_Area" localSheetId="7">'661 449 Hwy'!$A$1:$S$50</definedName>
    <definedName name="_xlnm.Print_Area" localSheetId="8">'NAGE &amp; Non-Union Wages'!$A$1:$M$36</definedName>
    <definedName name="_xlnm.Print_Titles" localSheetId="2">'192 Public Bldgs'!$2:$7</definedName>
    <definedName name="_xlnm.Print_Titles" localSheetId="1">'420 DPW'!$2:$8</definedName>
    <definedName name="_xlnm.Print_Titles" localSheetId="3">'422 Maintenance'!$2:$7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5" l="1"/>
  <c r="N90" i="15"/>
  <c r="P90" i="15" s="1"/>
  <c r="N84" i="15"/>
  <c r="Q10" i="5"/>
  <c r="N46" i="5"/>
  <c r="O46" i="5" s="1"/>
  <c r="M46" i="5"/>
  <c r="P46" i="5" s="1"/>
  <c r="P84" i="15" l="1"/>
  <c r="M32" i="56" l="1"/>
  <c r="M63" i="17"/>
  <c r="Q21" i="18" l="1"/>
  <c r="R21" i="18" s="1"/>
  <c r="Q42" i="87"/>
  <c r="R42" i="87" s="1"/>
  <c r="Q10" i="23" l="1"/>
  <c r="T17" i="87"/>
  <c r="T16" i="87"/>
  <c r="T15" i="87"/>
  <c r="T14" i="87"/>
  <c r="T13" i="87"/>
  <c r="T12" i="87"/>
  <c r="T11" i="87"/>
  <c r="T10" i="87"/>
  <c r="Q10" i="15" l="1"/>
  <c r="P96" i="15"/>
  <c r="N87" i="15"/>
  <c r="N86" i="15"/>
  <c r="N75" i="15"/>
  <c r="H11" i="141" l="1"/>
  <c r="I11" i="141"/>
  <c r="J11" i="141"/>
  <c r="K11" i="141"/>
  <c r="L11" i="141"/>
  <c r="G11" i="141"/>
  <c r="L14" i="141"/>
  <c r="K14" i="141"/>
  <c r="J14" i="141"/>
  <c r="I14" i="141"/>
  <c r="H14" i="141"/>
  <c r="G14" i="141"/>
  <c r="F14" i="141"/>
  <c r="E14" i="141"/>
  <c r="D14" i="141"/>
  <c r="C14" i="141"/>
  <c r="L13" i="141"/>
  <c r="K13" i="141"/>
  <c r="J13" i="141"/>
  <c r="I13" i="141"/>
  <c r="H13" i="141"/>
  <c r="G13" i="141"/>
  <c r="F13" i="141"/>
  <c r="E13" i="141"/>
  <c r="D13" i="141"/>
  <c r="C13" i="141"/>
  <c r="L12" i="141"/>
  <c r="K12" i="141"/>
  <c r="J12" i="141"/>
  <c r="I12" i="141"/>
  <c r="H12" i="141"/>
  <c r="G12" i="141"/>
  <c r="F12" i="141"/>
  <c r="E12" i="141"/>
  <c r="D12" i="141"/>
  <c r="C12" i="141"/>
  <c r="L10" i="141"/>
  <c r="K10" i="141"/>
  <c r="J10" i="141"/>
  <c r="I10" i="141"/>
  <c r="H10" i="141"/>
  <c r="G10" i="141"/>
  <c r="F10" i="141"/>
  <c r="E10" i="141"/>
  <c r="D10" i="141"/>
  <c r="C10" i="141"/>
  <c r="L9" i="141"/>
  <c r="K9" i="141"/>
  <c r="J9" i="141"/>
  <c r="I9" i="141"/>
  <c r="H9" i="141"/>
  <c r="G9" i="141"/>
  <c r="F9" i="141"/>
  <c r="E9" i="141"/>
  <c r="D9" i="141"/>
  <c r="C9" i="141"/>
  <c r="O17" i="87"/>
  <c r="O16" i="87"/>
  <c r="O15" i="87"/>
  <c r="O14" i="87"/>
  <c r="O13" i="87"/>
  <c r="O11" i="87"/>
  <c r="O10" i="87"/>
  <c r="O9" i="17"/>
  <c r="O9" i="56"/>
  <c r="O44" i="17"/>
  <c r="O11" i="18"/>
  <c r="O11" i="17"/>
  <c r="O12" i="17"/>
  <c r="O10" i="22"/>
  <c r="O9" i="23"/>
  <c r="N89" i="15" l="1"/>
  <c r="N88" i="15"/>
  <c r="N85" i="15"/>
  <c r="N83" i="15"/>
  <c r="N82" i="15"/>
  <c r="N80" i="15"/>
  <c r="N79" i="15"/>
  <c r="N78" i="15"/>
  <c r="N77" i="15"/>
  <c r="N76" i="15"/>
  <c r="N74" i="15"/>
  <c r="N73" i="15"/>
  <c r="N72" i="15"/>
  <c r="N70" i="15"/>
  <c r="P69" i="15"/>
  <c r="L20" i="141" l="1"/>
  <c r="K20" i="141"/>
  <c r="J20" i="141"/>
  <c r="I20" i="141"/>
  <c r="H20" i="141"/>
  <c r="G20" i="141"/>
  <c r="F20" i="141"/>
  <c r="E20" i="141"/>
  <c r="D20" i="141"/>
  <c r="L19" i="141"/>
  <c r="K19" i="141"/>
  <c r="J19" i="141"/>
  <c r="I19" i="141"/>
  <c r="H19" i="141"/>
  <c r="N71" i="15" s="1"/>
  <c r="G19" i="141"/>
  <c r="F19" i="141"/>
  <c r="E19" i="141"/>
  <c r="D19" i="141"/>
  <c r="L18" i="141"/>
  <c r="K18" i="141"/>
  <c r="J18" i="141"/>
  <c r="I18" i="141"/>
  <c r="H18" i="141"/>
  <c r="G18" i="141"/>
  <c r="F18" i="141"/>
  <c r="E18" i="141"/>
  <c r="D18" i="141"/>
  <c r="C20" i="141"/>
  <c r="C19" i="141"/>
  <c r="C18" i="141"/>
  <c r="L8" i="141"/>
  <c r="K8" i="141"/>
  <c r="J8" i="141"/>
  <c r="I8" i="141"/>
  <c r="H8" i="141"/>
  <c r="G8" i="141"/>
  <c r="F8" i="141"/>
  <c r="E8" i="141"/>
  <c r="D8" i="141"/>
  <c r="L7" i="141"/>
  <c r="K7" i="141"/>
  <c r="J7" i="141"/>
  <c r="I7" i="141"/>
  <c r="H7" i="141"/>
  <c r="G7" i="141"/>
  <c r="F7" i="141"/>
  <c r="E7" i="141"/>
  <c r="D7" i="141"/>
  <c r="L6" i="141"/>
  <c r="K6" i="141"/>
  <c r="J6" i="141"/>
  <c r="I6" i="141"/>
  <c r="H6" i="141"/>
  <c r="G6" i="141"/>
  <c r="F6" i="141"/>
  <c r="E6" i="141"/>
  <c r="D6" i="141"/>
  <c r="L5" i="141"/>
  <c r="K5" i="141"/>
  <c r="J5" i="141"/>
  <c r="I5" i="141"/>
  <c r="H5" i="141"/>
  <c r="G5" i="141"/>
  <c r="F5" i="141"/>
  <c r="E5" i="141"/>
  <c r="D5" i="141"/>
  <c r="L4" i="141"/>
  <c r="K4" i="141"/>
  <c r="J4" i="141"/>
  <c r="I4" i="141"/>
  <c r="H4" i="141"/>
  <c r="G4" i="141"/>
  <c r="F4" i="141"/>
  <c r="E4" i="141"/>
  <c r="D4" i="141"/>
  <c r="C8" i="141"/>
  <c r="C7" i="141"/>
  <c r="C6" i="141"/>
  <c r="C5" i="141"/>
  <c r="C4" i="141"/>
  <c r="K21" i="161"/>
  <c r="J21" i="161"/>
  <c r="I21" i="161"/>
  <c r="H21" i="161"/>
  <c r="G21" i="161"/>
  <c r="F21" i="161"/>
  <c r="E21" i="161"/>
  <c r="D21" i="161"/>
  <c r="D10" i="161" s="1"/>
  <c r="K20" i="161"/>
  <c r="K9" i="161" s="1"/>
  <c r="J20" i="161"/>
  <c r="I20" i="161"/>
  <c r="H20" i="161"/>
  <c r="G20" i="161"/>
  <c r="G9" i="161" s="1"/>
  <c r="F20" i="161"/>
  <c r="E20" i="161"/>
  <c r="D20" i="161"/>
  <c r="D9" i="161" s="1"/>
  <c r="K19" i="161"/>
  <c r="J19" i="161"/>
  <c r="I19" i="161"/>
  <c r="I8" i="161" s="1"/>
  <c r="H19" i="161"/>
  <c r="G19" i="161"/>
  <c r="F19" i="161"/>
  <c r="E19" i="161"/>
  <c r="D19" i="161"/>
  <c r="D8" i="161" s="1"/>
  <c r="K18" i="161"/>
  <c r="K7" i="161" s="1"/>
  <c r="J18" i="161"/>
  <c r="I18" i="161"/>
  <c r="H18" i="161"/>
  <c r="G18" i="161"/>
  <c r="G7" i="161" s="1"/>
  <c r="F18" i="161"/>
  <c r="E18" i="161"/>
  <c r="D18" i="161"/>
  <c r="D7" i="161" s="1"/>
  <c r="K17" i="161"/>
  <c r="K6" i="161" s="1"/>
  <c r="J17" i="161"/>
  <c r="I17" i="161"/>
  <c r="H17" i="161"/>
  <c r="G17" i="161"/>
  <c r="G6" i="161" s="1"/>
  <c r="F17" i="161"/>
  <c r="E17" i="161"/>
  <c r="E6" i="161" s="1"/>
  <c r="D17" i="161"/>
  <c r="D6" i="161" s="1"/>
  <c r="C21" i="161"/>
  <c r="C20" i="161"/>
  <c r="C9" i="161" s="1"/>
  <c r="C19" i="161"/>
  <c r="C18" i="161"/>
  <c r="C17" i="161"/>
  <c r="B21" i="161"/>
  <c r="B10" i="161" s="1"/>
  <c r="B20" i="161"/>
  <c r="B9" i="161" s="1"/>
  <c r="B19" i="161"/>
  <c r="B8" i="161" s="1"/>
  <c r="B18" i="161"/>
  <c r="B7" i="161" s="1"/>
  <c r="B17" i="161"/>
  <c r="E9" i="161"/>
  <c r="K10" i="161"/>
  <c r="J10" i="161"/>
  <c r="I10" i="161"/>
  <c r="H10" i="161"/>
  <c r="G10" i="161"/>
  <c r="F10" i="161"/>
  <c r="E10" i="161"/>
  <c r="C10" i="161"/>
  <c r="J9" i="161"/>
  <c r="I9" i="161"/>
  <c r="H9" i="161"/>
  <c r="F9" i="161"/>
  <c r="K8" i="161"/>
  <c r="J8" i="161"/>
  <c r="H8" i="161"/>
  <c r="G8" i="161"/>
  <c r="F8" i="161"/>
  <c r="E8" i="161"/>
  <c r="C8" i="161"/>
  <c r="J7" i="161"/>
  <c r="I7" i="161"/>
  <c r="H7" i="161"/>
  <c r="F7" i="161"/>
  <c r="E7" i="161"/>
  <c r="C7" i="161"/>
  <c r="J6" i="161"/>
  <c r="I6" i="161"/>
  <c r="H6" i="161"/>
  <c r="F6" i="161"/>
  <c r="C6" i="161"/>
  <c r="B6" i="161"/>
  <c r="N26" i="5"/>
  <c r="N23" i="5"/>
  <c r="N12" i="5"/>
  <c r="N25" i="22"/>
  <c r="N13" i="22"/>
  <c r="N18" i="18"/>
  <c r="N18" i="23"/>
  <c r="N13" i="23"/>
  <c r="N53" i="17"/>
  <c r="N50" i="17"/>
  <c r="N16" i="17"/>
  <c r="N22" i="56"/>
  <c r="N12" i="56"/>
  <c r="N57" i="15"/>
  <c r="N58" i="15" s="1"/>
  <c r="N54" i="15"/>
  <c r="N53" i="15"/>
  <c r="N52" i="15"/>
  <c r="N51" i="15"/>
  <c r="N50" i="15"/>
  <c r="N49" i="15"/>
  <c r="N48" i="15"/>
  <c r="N47" i="15"/>
  <c r="N46" i="15"/>
  <c r="N45" i="15"/>
  <c r="N44" i="15"/>
  <c r="N43" i="15"/>
  <c r="N42" i="15"/>
  <c r="N41" i="15"/>
  <c r="N40" i="15"/>
  <c r="N39" i="15"/>
  <c r="N38" i="15"/>
  <c r="N37" i="15"/>
  <c r="N36" i="15"/>
  <c r="N35" i="15"/>
  <c r="N34" i="15"/>
  <c r="N33" i="15"/>
  <c r="N32" i="15"/>
  <c r="N31" i="15"/>
  <c r="N30" i="15"/>
  <c r="N29" i="15"/>
  <c r="N28" i="15"/>
  <c r="N27" i="15"/>
  <c r="N26" i="15"/>
  <c r="N25" i="15"/>
  <c r="N24" i="15"/>
  <c r="N23" i="15"/>
  <c r="N22" i="15"/>
  <c r="N21" i="15"/>
  <c r="N20" i="15"/>
  <c r="N19" i="15"/>
  <c r="N16" i="15"/>
  <c r="N15" i="15"/>
  <c r="N14" i="15"/>
  <c r="N13" i="15"/>
  <c r="N12" i="15"/>
  <c r="N11" i="15"/>
  <c r="N10" i="15"/>
  <c r="N9" i="15"/>
  <c r="N39" i="87"/>
  <c r="M57" i="15"/>
  <c r="M58" i="15" s="1"/>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6" i="15"/>
  <c r="M15" i="15"/>
  <c r="M14" i="15"/>
  <c r="M13" i="15"/>
  <c r="M12" i="15"/>
  <c r="M11" i="15"/>
  <c r="M10" i="15"/>
  <c r="M9" i="15"/>
  <c r="M26" i="5"/>
  <c r="M23" i="5"/>
  <c r="M12" i="5"/>
  <c r="M25" i="22"/>
  <c r="M27" i="22" s="1"/>
  <c r="M13" i="22"/>
  <c r="M18" i="18"/>
  <c r="M11" i="18"/>
  <c r="M12" i="18" s="1"/>
  <c r="M18" i="23"/>
  <c r="M20" i="23" s="1"/>
  <c r="M13" i="23"/>
  <c r="M53" i="17"/>
  <c r="M55" i="17" s="1"/>
  <c r="M50" i="17"/>
  <c r="M16" i="17"/>
  <c r="M22" i="56"/>
  <c r="M24" i="56" s="1"/>
  <c r="M12" i="56"/>
  <c r="M39" i="87"/>
  <c r="M41" i="87" s="1"/>
  <c r="M28" i="5" l="1"/>
  <c r="M17" i="15"/>
  <c r="M55" i="15"/>
  <c r="N28" i="5"/>
  <c r="N27" i="22"/>
  <c r="N12" i="18"/>
  <c r="N20" i="18"/>
  <c r="N20" i="23"/>
  <c r="N55" i="17"/>
  <c r="N55" i="15"/>
  <c r="N24" i="56"/>
  <c r="N17" i="15"/>
  <c r="M60" i="15"/>
  <c r="M20" i="18"/>
  <c r="N60" i="15" l="1"/>
  <c r="O12" i="18"/>
  <c r="R25" i="22" l="1"/>
  <c r="R13" i="22"/>
  <c r="R27" i="22" l="1"/>
  <c r="T39" i="87" l="1"/>
  <c r="R53" i="15" l="1"/>
  <c r="R52" i="15"/>
  <c r="R51" i="15"/>
  <c r="R50" i="15"/>
  <c r="R49" i="15"/>
  <c r="R48" i="15"/>
  <c r="R47" i="15"/>
  <c r="R46" i="15"/>
  <c r="R45" i="15"/>
  <c r="R44" i="15"/>
  <c r="R43" i="15"/>
  <c r="R42" i="15"/>
  <c r="R41" i="15"/>
  <c r="R40" i="15"/>
  <c r="R39" i="15"/>
  <c r="R38" i="15"/>
  <c r="R37" i="15"/>
  <c r="R36" i="15"/>
  <c r="R35" i="15"/>
  <c r="R34" i="15"/>
  <c r="R33" i="15"/>
  <c r="R32" i="15"/>
  <c r="R31" i="15"/>
  <c r="R30" i="15"/>
  <c r="R29" i="15"/>
  <c r="R28" i="15"/>
  <c r="R27" i="15"/>
  <c r="R26" i="15"/>
  <c r="R25" i="15"/>
  <c r="R24" i="15"/>
  <c r="R23" i="15"/>
  <c r="R22" i="15"/>
  <c r="R21" i="15"/>
  <c r="R20" i="15"/>
  <c r="R19" i="15"/>
  <c r="R16" i="15"/>
  <c r="R15" i="15"/>
  <c r="R14" i="15"/>
  <c r="R13" i="15"/>
  <c r="R12" i="15"/>
  <c r="R11" i="15"/>
  <c r="R18" i="23"/>
  <c r="R10" i="15"/>
  <c r="R53" i="17"/>
  <c r="R50" i="17"/>
  <c r="N101" i="17" l="1"/>
  <c r="M49" i="5"/>
  <c r="M48" i="5"/>
  <c r="M47" i="5"/>
  <c r="M45" i="5"/>
  <c r="M44" i="5"/>
  <c r="M43" i="5"/>
  <c r="M42" i="5"/>
  <c r="M41" i="5"/>
  <c r="M40" i="5"/>
  <c r="M39" i="5"/>
  <c r="M38" i="5"/>
  <c r="M37" i="5"/>
  <c r="M35" i="22"/>
  <c r="M47" i="22"/>
  <c r="M46" i="22"/>
  <c r="M45" i="22"/>
  <c r="M44" i="22"/>
  <c r="M43" i="22"/>
  <c r="M42" i="22"/>
  <c r="M41" i="22"/>
  <c r="M40" i="22"/>
  <c r="M39" i="22"/>
  <c r="M38" i="22"/>
  <c r="M37" i="22"/>
  <c r="M36" i="22"/>
  <c r="M32" i="18"/>
  <c r="M31" i="18"/>
  <c r="M30" i="18"/>
  <c r="M29" i="18"/>
  <c r="M27" i="18"/>
  <c r="M26" i="18"/>
  <c r="M31" i="23"/>
  <c r="M30" i="23"/>
  <c r="M29" i="23"/>
  <c r="M28" i="23"/>
  <c r="M27" i="23"/>
  <c r="M26" i="23"/>
  <c r="O50"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41" i="56"/>
  <c r="M40" i="56"/>
  <c r="M39" i="56"/>
  <c r="M38" i="56"/>
  <c r="M37" i="56"/>
  <c r="M36" i="56"/>
  <c r="M35" i="56"/>
  <c r="M34" i="56"/>
  <c r="M33" i="56"/>
  <c r="M73" i="87"/>
  <c r="M72" i="87"/>
  <c r="M71" i="87"/>
  <c r="M70" i="87"/>
  <c r="M69" i="87"/>
  <c r="M68" i="87"/>
  <c r="M67" i="87"/>
  <c r="M66" i="87"/>
  <c r="M65" i="87"/>
  <c r="M64" i="87"/>
  <c r="M63" i="87"/>
  <c r="M62" i="87"/>
  <c r="M61" i="87"/>
  <c r="M60" i="87"/>
  <c r="M59" i="87"/>
  <c r="M58" i="87"/>
  <c r="M57" i="87"/>
  <c r="M56" i="87"/>
  <c r="M55" i="87"/>
  <c r="M54" i="87"/>
  <c r="M53" i="87"/>
  <c r="M52" i="87"/>
  <c r="M51" i="87"/>
  <c r="M50" i="87"/>
  <c r="M49" i="87"/>
  <c r="M103" i="17" l="1"/>
  <c r="L54" i="15" l="1"/>
  <c r="O12" i="5" l="1"/>
  <c r="O26" i="5"/>
  <c r="L26" i="5"/>
  <c r="O23" i="5"/>
  <c r="L23" i="5"/>
  <c r="L12" i="5"/>
  <c r="O25" i="22"/>
  <c r="L25" i="22"/>
  <c r="Q12" i="18"/>
  <c r="O13" i="22"/>
  <c r="L13" i="22"/>
  <c r="O18" i="18"/>
  <c r="L18" i="18"/>
  <c r="L12" i="18"/>
  <c r="O28" i="5" l="1"/>
  <c r="O27" i="22"/>
  <c r="L28" i="5"/>
  <c r="M28" i="18"/>
  <c r="L27" i="22"/>
  <c r="L20" i="18"/>
  <c r="L18" i="23"/>
  <c r="L13" i="23"/>
  <c r="O18" i="23"/>
  <c r="O13" i="23"/>
  <c r="O16" i="17"/>
  <c r="O53" i="17"/>
  <c r="L53" i="17"/>
  <c r="L50" i="17"/>
  <c r="L16" i="17"/>
  <c r="O22" i="56"/>
  <c r="L22" i="56"/>
  <c r="O12" i="56"/>
  <c r="L12" i="56"/>
  <c r="O57" i="15"/>
  <c r="L57" i="15"/>
  <c r="O53" i="15"/>
  <c r="L53" i="15"/>
  <c r="O52" i="15"/>
  <c r="L52" i="15"/>
  <c r="O51" i="15"/>
  <c r="L51" i="15"/>
  <c r="O50" i="15"/>
  <c r="L50" i="15"/>
  <c r="O49" i="15"/>
  <c r="L49" i="15"/>
  <c r="O48" i="15"/>
  <c r="L48" i="15"/>
  <c r="O47" i="15"/>
  <c r="L47" i="15"/>
  <c r="O46" i="15"/>
  <c r="L46" i="15"/>
  <c r="O45" i="15"/>
  <c r="L45" i="15"/>
  <c r="O44" i="15"/>
  <c r="L44" i="15"/>
  <c r="O43" i="15"/>
  <c r="L43" i="15"/>
  <c r="O42" i="15"/>
  <c r="L42" i="15"/>
  <c r="O41" i="15"/>
  <c r="L41" i="15"/>
  <c r="O40" i="15"/>
  <c r="L40" i="15"/>
  <c r="O39" i="15"/>
  <c r="L39" i="15"/>
  <c r="O38" i="15"/>
  <c r="L38" i="15"/>
  <c r="O37" i="15"/>
  <c r="L37" i="15"/>
  <c r="O36" i="15"/>
  <c r="L36" i="15"/>
  <c r="O35" i="15"/>
  <c r="L35" i="15"/>
  <c r="O34" i="15"/>
  <c r="L34" i="15"/>
  <c r="O33" i="15"/>
  <c r="L33" i="15"/>
  <c r="O32" i="15"/>
  <c r="L32" i="15"/>
  <c r="O31" i="15"/>
  <c r="L31" i="15"/>
  <c r="O30" i="15"/>
  <c r="L30" i="15"/>
  <c r="O29" i="15"/>
  <c r="L29" i="15"/>
  <c r="O28" i="15"/>
  <c r="L28" i="15"/>
  <c r="O27" i="15"/>
  <c r="L27" i="15"/>
  <c r="O26" i="15"/>
  <c r="L26" i="15"/>
  <c r="O25" i="15"/>
  <c r="L25" i="15"/>
  <c r="O24" i="15"/>
  <c r="L24" i="15"/>
  <c r="O23" i="15"/>
  <c r="L23" i="15"/>
  <c r="O22" i="15"/>
  <c r="L22" i="15"/>
  <c r="O21" i="15"/>
  <c r="L21" i="15"/>
  <c r="O20" i="15"/>
  <c r="L20" i="15"/>
  <c r="O19" i="15"/>
  <c r="L19" i="15"/>
  <c r="O16" i="15"/>
  <c r="L16" i="15"/>
  <c r="O15" i="15"/>
  <c r="L15" i="15"/>
  <c r="O14" i="15"/>
  <c r="L14" i="15"/>
  <c r="O13" i="15"/>
  <c r="L13" i="15"/>
  <c r="O12" i="15"/>
  <c r="L12" i="15"/>
  <c r="O11" i="15"/>
  <c r="L11" i="15"/>
  <c r="O10" i="15"/>
  <c r="L10" i="15"/>
  <c r="O9" i="15"/>
  <c r="L9" i="15"/>
  <c r="O39" i="87"/>
  <c r="L39" i="87"/>
  <c r="L41" i="87" s="1"/>
  <c r="L24" i="56" l="1"/>
  <c r="O20" i="23"/>
  <c r="O41" i="87"/>
  <c r="L58" i="15"/>
  <c r="O58" i="15"/>
  <c r="O20" i="18"/>
  <c r="L20" i="23"/>
  <c r="L55" i="17"/>
  <c r="L55" i="15"/>
  <c r="L17" i="15"/>
  <c r="O55" i="15"/>
  <c r="O55" i="17"/>
  <c r="O17" i="15"/>
  <c r="O24" i="56"/>
  <c r="L60" i="15" l="1"/>
  <c r="O60" i="15"/>
  <c r="N29" i="23" l="1"/>
  <c r="O29" i="23" s="1"/>
  <c r="P29" i="23"/>
  <c r="Q18" i="23"/>
  <c r="K18" i="23"/>
  <c r="P18" i="23"/>
  <c r="J18" i="23"/>
  <c r="I18" i="23"/>
  <c r="J12" i="5" l="1"/>
  <c r="J26" i="5"/>
  <c r="J23" i="5"/>
  <c r="J13" i="22"/>
  <c r="J25" i="22"/>
  <c r="J18" i="18"/>
  <c r="J12" i="18"/>
  <c r="J57" i="15"/>
  <c r="J58" i="15" s="1"/>
  <c r="J53"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6" i="15"/>
  <c r="J15" i="15"/>
  <c r="J14" i="15"/>
  <c r="J13" i="15"/>
  <c r="J12" i="15"/>
  <c r="J11" i="15"/>
  <c r="J10" i="15"/>
  <c r="J9" i="15"/>
  <c r="J53" i="17"/>
  <c r="J50" i="17"/>
  <c r="J16" i="17"/>
  <c r="J13" i="23"/>
  <c r="J22" i="56"/>
  <c r="J12" i="56"/>
  <c r="J39" i="87"/>
  <c r="J41" i="87" s="1"/>
  <c r="J17" i="15" l="1"/>
  <c r="J55" i="15"/>
  <c r="J28" i="5"/>
  <c r="J27" i="22"/>
  <c r="J20" i="18"/>
  <c r="J55" i="17"/>
  <c r="J20" i="23"/>
  <c r="J24" i="56"/>
  <c r="K39" i="87"/>
  <c r="K41" i="87" s="1"/>
  <c r="K11" i="18"/>
  <c r="K12" i="18" s="1"/>
  <c r="J60" i="15" l="1"/>
  <c r="I21" i="17" l="1"/>
  <c r="I39" i="17"/>
  <c r="N95" i="17" l="1"/>
  <c r="Q48" i="15"/>
  <c r="P48" i="15"/>
  <c r="K48" i="15"/>
  <c r="I48" i="15"/>
  <c r="H48" i="15"/>
  <c r="O95" i="17" l="1"/>
  <c r="K26" i="5" l="1"/>
  <c r="K23" i="5"/>
  <c r="K12" i="5"/>
  <c r="M50" i="5"/>
  <c r="K25" i="22"/>
  <c r="K13" i="22"/>
  <c r="K18" i="18"/>
  <c r="K57" i="15"/>
  <c r="K53" i="15"/>
  <c r="K52" i="15"/>
  <c r="K51" i="15"/>
  <c r="K50" i="15"/>
  <c r="K49" i="15"/>
  <c r="K47" i="15"/>
  <c r="K46" i="15"/>
  <c r="K45" i="15"/>
  <c r="K44" i="15"/>
  <c r="K43" i="15"/>
  <c r="K42" i="15"/>
  <c r="K41" i="15"/>
  <c r="K40" i="15"/>
  <c r="K39" i="15"/>
  <c r="K38" i="15"/>
  <c r="K37" i="15"/>
  <c r="K36" i="15"/>
  <c r="K35" i="15"/>
  <c r="K34" i="15"/>
  <c r="K33" i="15"/>
  <c r="K32" i="15"/>
  <c r="K31" i="15"/>
  <c r="K30" i="15"/>
  <c r="K29" i="15"/>
  <c r="K28" i="15"/>
  <c r="K27" i="15"/>
  <c r="K26" i="15"/>
  <c r="K25" i="15"/>
  <c r="K24" i="15"/>
  <c r="K23" i="15"/>
  <c r="K22" i="15"/>
  <c r="K21" i="15"/>
  <c r="K20" i="15"/>
  <c r="K19" i="15"/>
  <c r="K16" i="15"/>
  <c r="K15" i="15"/>
  <c r="K14" i="15"/>
  <c r="K13" i="15"/>
  <c r="K12" i="15"/>
  <c r="K11" i="15"/>
  <c r="K10" i="15"/>
  <c r="K9" i="15"/>
  <c r="K13" i="23"/>
  <c r="K53" i="17"/>
  <c r="K50" i="17"/>
  <c r="K16" i="17"/>
  <c r="K22" i="56"/>
  <c r="K12" i="56"/>
  <c r="M43" i="56" l="1"/>
  <c r="M52" i="5"/>
  <c r="K28" i="5"/>
  <c r="M75" i="87"/>
  <c r="K20" i="23"/>
  <c r="M33" i="23"/>
  <c r="M34" i="18"/>
  <c r="M49" i="22"/>
  <c r="K58" i="15"/>
  <c r="K20" i="18"/>
  <c r="K55" i="17"/>
  <c r="K17" i="15"/>
  <c r="K55" i="15"/>
  <c r="K27" i="22"/>
  <c r="K24" i="56"/>
  <c r="K60" i="15" l="1"/>
  <c r="I30" i="15" l="1"/>
  <c r="N50" i="87" l="1"/>
  <c r="N51" i="87"/>
  <c r="O51" i="87" s="1"/>
  <c r="P51" i="87" s="1"/>
  <c r="N52" i="87"/>
  <c r="N53" i="87"/>
  <c r="O53" i="87" s="1"/>
  <c r="P53" i="87" s="1"/>
  <c r="N54" i="87"/>
  <c r="N55" i="87"/>
  <c r="O55" i="87" s="1"/>
  <c r="P55" i="87" s="1"/>
  <c r="N56" i="87"/>
  <c r="N57" i="87"/>
  <c r="O57" i="87" s="1"/>
  <c r="P57" i="87" s="1"/>
  <c r="N58" i="87"/>
  <c r="N59" i="87"/>
  <c r="O59" i="87" s="1"/>
  <c r="P59" i="87" s="1"/>
  <c r="N60" i="87"/>
  <c r="N61" i="87"/>
  <c r="O61" i="87" s="1"/>
  <c r="P61" i="87" s="1"/>
  <c r="N62" i="87"/>
  <c r="N63" i="87"/>
  <c r="N64" i="87"/>
  <c r="N65" i="87"/>
  <c r="O65" i="87" s="1"/>
  <c r="P65" i="87" s="1"/>
  <c r="N66" i="87"/>
  <c r="O66" i="87" s="1"/>
  <c r="P66" i="87" s="1"/>
  <c r="N67" i="87"/>
  <c r="O67" i="87" s="1"/>
  <c r="P67" i="87" s="1"/>
  <c r="N68" i="87"/>
  <c r="N69" i="87"/>
  <c r="O69" i="87" s="1"/>
  <c r="P69" i="87" s="1"/>
  <c r="N70" i="87"/>
  <c r="O70" i="87" s="1"/>
  <c r="P70" i="87" s="1"/>
  <c r="N71" i="87"/>
  <c r="O71" i="87" s="1"/>
  <c r="P71" i="87" s="1"/>
  <c r="N72" i="87"/>
  <c r="N73" i="87"/>
  <c r="O73" i="87" s="1"/>
  <c r="P73" i="87" s="1"/>
  <c r="O63" i="87" l="1"/>
  <c r="P63" i="87"/>
  <c r="O62" i="87"/>
  <c r="P62" i="87" s="1"/>
  <c r="O58" i="87"/>
  <c r="P58" i="87" s="1"/>
  <c r="O64" i="87"/>
  <c r="P64" i="87" s="1"/>
  <c r="O60" i="87"/>
  <c r="P60" i="87" s="1"/>
  <c r="O72" i="87"/>
  <c r="P72" i="87"/>
  <c r="O68" i="87"/>
  <c r="P68" i="87" s="1"/>
  <c r="O56" i="87"/>
  <c r="P56" i="87" s="1"/>
  <c r="O54" i="87"/>
  <c r="P54" i="87" s="1"/>
  <c r="O52" i="87"/>
  <c r="P52" i="87" s="1"/>
  <c r="O50" i="87"/>
  <c r="P50" i="87" s="1"/>
  <c r="N44" i="22" l="1"/>
  <c r="Q50" i="17"/>
  <c r="O101" i="17" l="1"/>
  <c r="P101" i="17" s="1"/>
  <c r="O44" i="22"/>
  <c r="P44" i="22" s="1"/>
  <c r="H26" i="17" l="1"/>
  <c r="G26" i="17"/>
  <c r="N79" i="17"/>
  <c r="P30" i="15"/>
  <c r="Q30" i="15"/>
  <c r="O79" i="17" l="1"/>
  <c r="P79" i="17" s="1"/>
  <c r="Q23" i="5" l="1"/>
  <c r="Q12" i="5"/>
  <c r="B108" i="141" l="1"/>
  <c r="B107" i="141"/>
  <c r="B106" i="141"/>
  <c r="I23" i="5" l="1"/>
  <c r="I12" i="5"/>
  <c r="H26" i="5"/>
  <c r="H23" i="5"/>
  <c r="H12" i="5"/>
  <c r="H25" i="22"/>
  <c r="H13" i="22"/>
  <c r="H18" i="18"/>
  <c r="H12" i="18"/>
  <c r="I50" i="17"/>
  <c r="I16" i="17"/>
  <c r="H20" i="18" l="1"/>
  <c r="H27" i="22"/>
  <c r="H28" i="5"/>
  <c r="H18" i="23"/>
  <c r="H13" i="23"/>
  <c r="H16" i="17"/>
  <c r="H50" i="17"/>
  <c r="H22" i="56"/>
  <c r="H12" i="56"/>
  <c r="H53" i="15"/>
  <c r="H52" i="15"/>
  <c r="H51" i="15"/>
  <c r="H50" i="15"/>
  <c r="H49" i="15"/>
  <c r="H47" i="15"/>
  <c r="H46" i="15"/>
  <c r="H45" i="15"/>
  <c r="H44" i="15"/>
  <c r="H43" i="15"/>
  <c r="H42" i="15"/>
  <c r="H41" i="15"/>
  <c r="H40" i="15"/>
  <c r="H39" i="15"/>
  <c r="H38" i="15"/>
  <c r="H37" i="15"/>
  <c r="H36" i="15"/>
  <c r="H35" i="15"/>
  <c r="H34" i="15"/>
  <c r="H33" i="15"/>
  <c r="H32" i="15"/>
  <c r="H31" i="15"/>
  <c r="H29" i="15"/>
  <c r="H28" i="15"/>
  <c r="H27" i="15"/>
  <c r="H26" i="15"/>
  <c r="H25" i="15"/>
  <c r="H24" i="15"/>
  <c r="H23" i="15"/>
  <c r="H22" i="15"/>
  <c r="H21" i="15"/>
  <c r="H20" i="15"/>
  <c r="H19" i="15"/>
  <c r="H16" i="15"/>
  <c r="H15" i="15"/>
  <c r="H14" i="15"/>
  <c r="H13" i="15"/>
  <c r="H12" i="15"/>
  <c r="H11" i="15"/>
  <c r="H10" i="15"/>
  <c r="H9" i="15"/>
  <c r="H39" i="87"/>
  <c r="H41" i="87" s="1"/>
  <c r="H24" i="56" l="1"/>
  <c r="H20" i="23"/>
  <c r="H55" i="17"/>
  <c r="H55" i="15"/>
  <c r="H17" i="15"/>
  <c r="H60" i="15" l="1"/>
  <c r="P57" i="15" l="1"/>
  <c r="P58" i="15" s="1"/>
  <c r="I57" i="15"/>
  <c r="P53" i="17"/>
  <c r="Q53" i="17"/>
  <c r="Q57" i="15" s="1"/>
  <c r="R57" i="15" s="1"/>
  <c r="R58" i="15" s="1"/>
  <c r="I53" i="17"/>
  <c r="S53" i="17" l="1"/>
  <c r="I58" i="15"/>
  <c r="Q58" i="15"/>
  <c r="S57" i="15"/>
  <c r="S58" i="15" l="1"/>
  <c r="N49" i="87" l="1"/>
  <c r="N75" i="87" s="1"/>
  <c r="N41" i="56"/>
  <c r="N40" i="56"/>
  <c r="N39" i="56"/>
  <c r="N38" i="56"/>
  <c r="N37" i="56"/>
  <c r="N36" i="56"/>
  <c r="N35" i="56"/>
  <c r="N34" i="56"/>
  <c r="N33" i="56"/>
  <c r="D33" i="56"/>
  <c r="D32" i="56"/>
  <c r="N100" i="17"/>
  <c r="N99" i="17"/>
  <c r="N98" i="17"/>
  <c r="N97" i="17"/>
  <c r="N96" i="17"/>
  <c r="N94" i="17"/>
  <c r="N93" i="17"/>
  <c r="N92" i="17"/>
  <c r="N91" i="17"/>
  <c r="N90" i="17"/>
  <c r="N89" i="17"/>
  <c r="N88" i="17"/>
  <c r="N87" i="17"/>
  <c r="N86" i="17"/>
  <c r="N85" i="17"/>
  <c r="N84" i="17"/>
  <c r="N83" i="17"/>
  <c r="N82" i="17"/>
  <c r="N81" i="17"/>
  <c r="N80" i="17"/>
  <c r="N78" i="17"/>
  <c r="N77" i="17"/>
  <c r="N76" i="17"/>
  <c r="N75" i="17"/>
  <c r="N74" i="17"/>
  <c r="N73" i="17"/>
  <c r="N72" i="17"/>
  <c r="N71" i="17"/>
  <c r="N70" i="17"/>
  <c r="N69" i="17"/>
  <c r="N68" i="17"/>
  <c r="N67" i="17"/>
  <c r="N65" i="17"/>
  <c r="N64" i="17"/>
  <c r="D65" i="17"/>
  <c r="D64" i="17"/>
  <c r="C64" i="17"/>
  <c r="D63" i="17"/>
  <c r="N31" i="23"/>
  <c r="N30" i="23"/>
  <c r="N28" i="23"/>
  <c r="N27" i="23"/>
  <c r="D27" i="23"/>
  <c r="D26" i="23"/>
  <c r="N32" i="18"/>
  <c r="N30" i="18"/>
  <c r="N29" i="18"/>
  <c r="N28" i="18"/>
  <c r="N26" i="18"/>
  <c r="D27" i="18"/>
  <c r="N46" i="22"/>
  <c r="N45" i="22"/>
  <c r="N42" i="22"/>
  <c r="N41" i="22"/>
  <c r="N40" i="22"/>
  <c r="N39" i="22"/>
  <c r="N38" i="22"/>
  <c r="N35" i="22"/>
  <c r="F13" i="22"/>
  <c r="F25" i="22"/>
  <c r="D37" i="22"/>
  <c r="N47" i="22"/>
  <c r="N43" i="22"/>
  <c r="O38" i="22" l="1"/>
  <c r="P38" i="22"/>
  <c r="O42" i="22"/>
  <c r="P42" i="22" s="1"/>
  <c r="O26" i="18"/>
  <c r="P26" i="18" s="1"/>
  <c r="O32" i="18"/>
  <c r="P32" i="18" s="1"/>
  <c r="O28" i="23"/>
  <c r="P28" i="23" s="1"/>
  <c r="O65" i="17"/>
  <c r="P65" i="17" s="1"/>
  <c r="O70" i="17"/>
  <c r="P70" i="17" s="1"/>
  <c r="O74" i="17"/>
  <c r="P74" i="17"/>
  <c r="O78" i="17"/>
  <c r="P78" i="17" s="1"/>
  <c r="O83" i="17"/>
  <c r="P83" i="17" s="1"/>
  <c r="O87" i="17"/>
  <c r="P87" i="17" s="1"/>
  <c r="O91" i="17"/>
  <c r="P91" i="17" s="1"/>
  <c r="O96" i="17"/>
  <c r="P96" i="17" s="1"/>
  <c r="O100" i="17"/>
  <c r="P100" i="17" s="1"/>
  <c r="O34" i="56"/>
  <c r="P34" i="56" s="1"/>
  <c r="O38" i="56"/>
  <c r="P38" i="56" s="1"/>
  <c r="O49" i="87"/>
  <c r="O39" i="22"/>
  <c r="P39" i="22" s="1"/>
  <c r="O45" i="22"/>
  <c r="P45" i="22" s="1"/>
  <c r="O28" i="18"/>
  <c r="P28" i="18" s="1"/>
  <c r="O30" i="23"/>
  <c r="P30" i="23" s="1"/>
  <c r="O67" i="17"/>
  <c r="P67" i="17" s="1"/>
  <c r="O71" i="17"/>
  <c r="P71" i="17" s="1"/>
  <c r="O75" i="17"/>
  <c r="P75" i="17" s="1"/>
  <c r="O80" i="17"/>
  <c r="P80" i="17" s="1"/>
  <c r="O84" i="17"/>
  <c r="P84" i="17" s="1"/>
  <c r="O88" i="17"/>
  <c r="P88" i="17" s="1"/>
  <c r="O92" i="17"/>
  <c r="P92" i="17" s="1"/>
  <c r="O97" i="17"/>
  <c r="P97" i="17" s="1"/>
  <c r="O35" i="56"/>
  <c r="P35" i="56" s="1"/>
  <c r="O39" i="56"/>
  <c r="P39" i="56" s="1"/>
  <c r="O40" i="22"/>
  <c r="P40" i="22" s="1"/>
  <c r="O46" i="22"/>
  <c r="P46" i="22"/>
  <c r="O29" i="18"/>
  <c r="P29" i="18" s="1"/>
  <c r="O31" i="23"/>
  <c r="P31" i="23" s="1"/>
  <c r="O68" i="17"/>
  <c r="P68" i="17" s="1"/>
  <c r="O72" i="17"/>
  <c r="P72" i="17" s="1"/>
  <c r="O76" i="17"/>
  <c r="P76" i="17" s="1"/>
  <c r="O81" i="17"/>
  <c r="P81" i="17" s="1"/>
  <c r="O85" i="17"/>
  <c r="P85" i="17"/>
  <c r="O89" i="17"/>
  <c r="P89" i="17" s="1"/>
  <c r="O93" i="17"/>
  <c r="P93" i="17" s="1"/>
  <c r="O98" i="17"/>
  <c r="P98" i="17" s="1"/>
  <c r="O36" i="56"/>
  <c r="P36" i="56" s="1"/>
  <c r="O40" i="56"/>
  <c r="P40" i="56" s="1"/>
  <c r="O43" i="22"/>
  <c r="P43" i="22" s="1"/>
  <c r="O41" i="22"/>
  <c r="P41" i="22" s="1"/>
  <c r="O30" i="18"/>
  <c r="P30" i="18" s="1"/>
  <c r="O27" i="23"/>
  <c r="P27" i="23" s="1"/>
  <c r="O64" i="17"/>
  <c r="P64" i="17" s="1"/>
  <c r="O69" i="17"/>
  <c r="P69" i="17" s="1"/>
  <c r="O73" i="17"/>
  <c r="P73" i="17" s="1"/>
  <c r="O77" i="17"/>
  <c r="P77" i="17" s="1"/>
  <c r="O82" i="17"/>
  <c r="P82" i="17" s="1"/>
  <c r="O86" i="17"/>
  <c r="P86" i="17" s="1"/>
  <c r="O90" i="17"/>
  <c r="P90" i="17" s="1"/>
  <c r="O94" i="17"/>
  <c r="P94" i="17"/>
  <c r="O99" i="17"/>
  <c r="P99" i="17" s="1"/>
  <c r="O33" i="56"/>
  <c r="P33" i="56" s="1"/>
  <c r="O37" i="56"/>
  <c r="P37" i="56" s="1"/>
  <c r="O41" i="56"/>
  <c r="P41" i="56" s="1"/>
  <c r="O47" i="22"/>
  <c r="P47" i="22" s="1"/>
  <c r="N50" i="5"/>
  <c r="N49" i="5"/>
  <c r="N48" i="5"/>
  <c r="N47" i="5"/>
  <c r="N45" i="5"/>
  <c r="N44" i="5"/>
  <c r="N43" i="5"/>
  <c r="N42" i="5"/>
  <c r="N41" i="5"/>
  <c r="N40" i="5"/>
  <c r="N39" i="5"/>
  <c r="N38" i="5"/>
  <c r="N37" i="5"/>
  <c r="D39" i="5"/>
  <c r="D38" i="5"/>
  <c r="D37" i="5"/>
  <c r="P49" i="87" l="1"/>
  <c r="O75" i="87"/>
  <c r="P75" i="87" s="1"/>
  <c r="N52" i="5"/>
  <c r="O52" i="5" s="1"/>
  <c r="P52" i="5" s="1"/>
  <c r="O41" i="5"/>
  <c r="P41" i="5" s="1"/>
  <c r="O43" i="5"/>
  <c r="P43" i="5" s="1"/>
  <c r="O48" i="5"/>
  <c r="P48" i="5" s="1"/>
  <c r="O40" i="5"/>
  <c r="P40" i="5" s="1"/>
  <c r="O44" i="5"/>
  <c r="P44" i="5" s="1"/>
  <c r="O49" i="5"/>
  <c r="P49" i="5" s="1"/>
  <c r="O37" i="5"/>
  <c r="P37" i="5" s="1"/>
  <c r="O50" i="5"/>
  <c r="P50" i="5"/>
  <c r="O38" i="5"/>
  <c r="P38" i="5" s="1"/>
  <c r="O42" i="5"/>
  <c r="P42" i="5" s="1"/>
  <c r="O47" i="5"/>
  <c r="P47" i="5" s="1"/>
  <c r="O45" i="5"/>
  <c r="P45" i="5" s="1"/>
  <c r="O39" i="5"/>
  <c r="P39" i="5" s="1"/>
  <c r="Q94" i="15" l="1"/>
  <c r="N66" i="17" s="1"/>
  <c r="G26" i="5"/>
  <c r="G23" i="5"/>
  <c r="G12" i="5"/>
  <c r="G25" i="22"/>
  <c r="G13" i="22"/>
  <c r="G18" i="18"/>
  <c r="G50" i="17"/>
  <c r="G53" i="15"/>
  <c r="G51" i="15"/>
  <c r="G50" i="15"/>
  <c r="G49" i="15"/>
  <c r="G47" i="15"/>
  <c r="G46" i="15"/>
  <c r="G45" i="15"/>
  <c r="G44" i="15"/>
  <c r="G43" i="15"/>
  <c r="G42" i="15"/>
  <c r="G41" i="15"/>
  <c r="G40" i="15"/>
  <c r="G39" i="15"/>
  <c r="G38" i="15"/>
  <c r="G37" i="15"/>
  <c r="G36" i="15"/>
  <c r="G35" i="15"/>
  <c r="G34" i="15"/>
  <c r="G33" i="15"/>
  <c r="G32" i="15"/>
  <c r="G31" i="15"/>
  <c r="G29" i="15"/>
  <c r="G28" i="15"/>
  <c r="G27" i="15"/>
  <c r="G26" i="15"/>
  <c r="G25" i="15"/>
  <c r="G24" i="15"/>
  <c r="G23" i="15"/>
  <c r="G22" i="15"/>
  <c r="G21" i="15"/>
  <c r="G20" i="15"/>
  <c r="G19" i="15"/>
  <c r="G16" i="15"/>
  <c r="G15" i="15"/>
  <c r="G14" i="15"/>
  <c r="G13" i="15"/>
  <c r="G12" i="15"/>
  <c r="G11" i="15"/>
  <c r="G10" i="15"/>
  <c r="G9" i="15"/>
  <c r="G18" i="23"/>
  <c r="G13" i="23"/>
  <c r="G16" i="17"/>
  <c r="G22" i="56"/>
  <c r="G12" i="56"/>
  <c r="G39" i="87"/>
  <c r="G41" i="87" s="1"/>
  <c r="O66" i="17" l="1"/>
  <c r="P66" i="17" s="1"/>
  <c r="G24" i="56"/>
  <c r="G55" i="17"/>
  <c r="G17" i="15"/>
  <c r="G28" i="5"/>
  <c r="G27" i="22"/>
  <c r="G12" i="18"/>
  <c r="G20" i="18" s="1"/>
  <c r="G20" i="23"/>
  <c r="I12" i="18" l="1"/>
  <c r="I39" i="87"/>
  <c r="Q25" i="22" l="1"/>
  <c r="S25" i="22" s="1"/>
  <c r="Q22" i="56"/>
  <c r="Q39" i="87"/>
  <c r="S39" i="87" l="1"/>
  <c r="P89" i="15" l="1"/>
  <c r="P87" i="15" l="1"/>
  <c r="P86" i="15"/>
  <c r="P81" i="15"/>
  <c r="P80" i="15"/>
  <c r="Q10" i="22" s="1"/>
  <c r="P79" i="15"/>
  <c r="P77" i="15"/>
  <c r="P76" i="15"/>
  <c r="P75" i="15"/>
  <c r="P73" i="15"/>
  <c r="P78" i="15"/>
  <c r="P74" i="15"/>
  <c r="F26" i="5"/>
  <c r="F23" i="5"/>
  <c r="F12" i="5"/>
  <c r="F27" i="22"/>
  <c r="F18" i="18"/>
  <c r="F12" i="18"/>
  <c r="F53" i="15"/>
  <c r="F52" i="15"/>
  <c r="F51" i="15"/>
  <c r="F50" i="15"/>
  <c r="F49" i="15"/>
  <c r="F47" i="15"/>
  <c r="F46" i="15"/>
  <c r="F45" i="15"/>
  <c r="F44" i="15"/>
  <c r="F43" i="15"/>
  <c r="F42" i="15"/>
  <c r="F41" i="15"/>
  <c r="F40" i="15"/>
  <c r="F39" i="15"/>
  <c r="F38" i="15"/>
  <c r="F37" i="15"/>
  <c r="F36" i="15"/>
  <c r="F35" i="15"/>
  <c r="F34" i="15"/>
  <c r="F33" i="15"/>
  <c r="F32" i="15"/>
  <c r="F31" i="15"/>
  <c r="F29" i="15"/>
  <c r="F28" i="15"/>
  <c r="F27" i="15"/>
  <c r="F26" i="15"/>
  <c r="F25" i="15"/>
  <c r="F24" i="15"/>
  <c r="F23" i="15"/>
  <c r="F22" i="15"/>
  <c r="F21" i="15"/>
  <c r="F20" i="15"/>
  <c r="F19" i="15"/>
  <c r="F16" i="15"/>
  <c r="F15" i="15"/>
  <c r="F14" i="15"/>
  <c r="F13" i="15"/>
  <c r="F12" i="15"/>
  <c r="F11" i="15"/>
  <c r="F10" i="15"/>
  <c r="F9" i="15"/>
  <c r="F50" i="17"/>
  <c r="F16" i="17"/>
  <c r="F18" i="23"/>
  <c r="F13" i="23"/>
  <c r="F22" i="56"/>
  <c r="F12" i="56"/>
  <c r="F39" i="87"/>
  <c r="F41" i="87" s="1"/>
  <c r="I26" i="5"/>
  <c r="N37" i="22"/>
  <c r="S18" i="18"/>
  <c r="N27" i="18"/>
  <c r="S50" i="17"/>
  <c r="S18" i="23"/>
  <c r="S22" i="56"/>
  <c r="Q26" i="5"/>
  <c r="I22" i="56"/>
  <c r="E22" i="56"/>
  <c r="E26" i="5"/>
  <c r="E23" i="5"/>
  <c r="E12" i="5"/>
  <c r="E25" i="22"/>
  <c r="E13" i="22"/>
  <c r="E18" i="18"/>
  <c r="E20" i="18" s="1"/>
  <c r="E12" i="18"/>
  <c r="S19" i="15"/>
  <c r="Q19" i="15"/>
  <c r="P19" i="15"/>
  <c r="I19" i="15"/>
  <c r="D19" i="15"/>
  <c r="C19" i="15"/>
  <c r="E19" i="15"/>
  <c r="E53" i="15"/>
  <c r="E52" i="15"/>
  <c r="E51" i="15"/>
  <c r="E50" i="15"/>
  <c r="E49" i="15"/>
  <c r="E47" i="15"/>
  <c r="E46" i="15"/>
  <c r="E45" i="15"/>
  <c r="E44" i="15"/>
  <c r="E43" i="15"/>
  <c r="E42" i="15"/>
  <c r="E41" i="15"/>
  <c r="E40" i="15"/>
  <c r="E39" i="15"/>
  <c r="E38" i="15"/>
  <c r="E37" i="15"/>
  <c r="E36" i="15"/>
  <c r="E35" i="15"/>
  <c r="E34" i="15"/>
  <c r="E33" i="15"/>
  <c r="E32" i="15"/>
  <c r="E31" i="15"/>
  <c r="E29" i="15"/>
  <c r="E28" i="15"/>
  <c r="E27" i="15"/>
  <c r="E26" i="15"/>
  <c r="E25" i="15"/>
  <c r="E24" i="15"/>
  <c r="E23" i="15"/>
  <c r="E22" i="15"/>
  <c r="E21" i="15"/>
  <c r="E20" i="15"/>
  <c r="E16" i="15"/>
  <c r="E15" i="15"/>
  <c r="E14" i="15"/>
  <c r="E13" i="15"/>
  <c r="E12" i="15"/>
  <c r="E11" i="15"/>
  <c r="E10" i="15"/>
  <c r="E9" i="15"/>
  <c r="E18" i="23"/>
  <c r="E13" i="23"/>
  <c r="E50" i="17"/>
  <c r="E16" i="17"/>
  <c r="E12" i="56"/>
  <c r="E39" i="87"/>
  <c r="E41" i="87" s="1"/>
  <c r="P22" i="56"/>
  <c r="K225" i="141"/>
  <c r="J225" i="141"/>
  <c r="I225" i="141"/>
  <c r="H225" i="141"/>
  <c r="G225" i="141"/>
  <c r="F225" i="141"/>
  <c r="E225" i="141"/>
  <c r="D225" i="141"/>
  <c r="C225" i="141"/>
  <c r="B225" i="141"/>
  <c r="D11" i="5"/>
  <c r="D10" i="5"/>
  <c r="D9" i="5"/>
  <c r="D11" i="22"/>
  <c r="D13" i="22" s="1"/>
  <c r="D10" i="18"/>
  <c r="D12" i="18" s="1"/>
  <c r="D10" i="23"/>
  <c r="D10" i="15" s="1"/>
  <c r="D9" i="23"/>
  <c r="D11" i="17"/>
  <c r="D12" i="15" s="1"/>
  <c r="D10" i="17"/>
  <c r="D9" i="17"/>
  <c r="D10" i="56"/>
  <c r="D9" i="56"/>
  <c r="D9" i="15" s="1"/>
  <c r="I53" i="15"/>
  <c r="I52" i="15"/>
  <c r="I51" i="15"/>
  <c r="I50" i="15"/>
  <c r="I49" i="15"/>
  <c r="I47" i="15"/>
  <c r="I46" i="15"/>
  <c r="I45" i="15"/>
  <c r="I44" i="15"/>
  <c r="I43" i="15"/>
  <c r="I42" i="15"/>
  <c r="I41" i="15"/>
  <c r="I40" i="15"/>
  <c r="I39" i="15"/>
  <c r="I38" i="15"/>
  <c r="I37" i="15"/>
  <c r="I36" i="15"/>
  <c r="I35" i="15"/>
  <c r="I34" i="15"/>
  <c r="I33" i="15"/>
  <c r="I32" i="15"/>
  <c r="I31" i="15"/>
  <c r="I29" i="15"/>
  <c r="I28" i="15"/>
  <c r="I27" i="15"/>
  <c r="I26" i="15"/>
  <c r="I25" i="15"/>
  <c r="I24" i="15"/>
  <c r="I23" i="15"/>
  <c r="I22" i="15"/>
  <c r="I21" i="15"/>
  <c r="I20" i="15"/>
  <c r="I16" i="15"/>
  <c r="I15" i="15"/>
  <c r="I14" i="15"/>
  <c r="I13" i="15"/>
  <c r="I12" i="15"/>
  <c r="I11" i="15"/>
  <c r="I10" i="15"/>
  <c r="I9" i="15"/>
  <c r="D13" i="15"/>
  <c r="D14" i="15"/>
  <c r="D15" i="15"/>
  <c r="D16" i="15"/>
  <c r="I25" i="22"/>
  <c r="I13" i="22"/>
  <c r="I18" i="18"/>
  <c r="I13" i="23"/>
  <c r="I55" i="17"/>
  <c r="I12" i="56"/>
  <c r="I24" i="56" s="1"/>
  <c r="K205" i="141"/>
  <c r="K186" i="141" s="1"/>
  <c r="K166" i="141" s="1"/>
  <c r="K145" i="141" s="1"/>
  <c r="K124" i="141" s="1"/>
  <c r="K102" i="141" s="1"/>
  <c r="J205" i="141"/>
  <c r="J186" i="141" s="1"/>
  <c r="J166" i="141" s="1"/>
  <c r="J145" i="141" s="1"/>
  <c r="J124" i="141" s="1"/>
  <c r="J102" i="141" s="1"/>
  <c r="J80" i="141" s="1"/>
  <c r="I205" i="141"/>
  <c r="I186" i="141" s="1"/>
  <c r="I166" i="141" s="1"/>
  <c r="I145" i="141" s="1"/>
  <c r="I124" i="141" s="1"/>
  <c r="I102" i="141" s="1"/>
  <c r="I80" i="141" s="1"/>
  <c r="H205" i="141"/>
  <c r="H186" i="141" s="1"/>
  <c r="H166" i="141" s="1"/>
  <c r="H145" i="141" s="1"/>
  <c r="H124" i="141" s="1"/>
  <c r="H102" i="141" s="1"/>
  <c r="H80" i="141" s="1"/>
  <c r="G205" i="141"/>
  <c r="G186" i="141" s="1"/>
  <c r="G166" i="141" s="1"/>
  <c r="G145" i="141" s="1"/>
  <c r="G124" i="141" s="1"/>
  <c r="G102" i="141" s="1"/>
  <c r="G80" i="141" s="1"/>
  <c r="F205" i="141"/>
  <c r="F186" i="141" s="1"/>
  <c r="F166" i="141" s="1"/>
  <c r="F145" i="141" s="1"/>
  <c r="F124" i="141" s="1"/>
  <c r="F102" i="141" s="1"/>
  <c r="F80" i="141" s="1"/>
  <c r="E205" i="141"/>
  <c r="E186" i="141" s="1"/>
  <c r="E166" i="141" s="1"/>
  <c r="E145" i="141" s="1"/>
  <c r="E124" i="141" s="1"/>
  <c r="E102" i="141" s="1"/>
  <c r="E80" i="141" s="1"/>
  <c r="D205" i="141"/>
  <c r="D186" i="141" s="1"/>
  <c r="D166" i="141" s="1"/>
  <c r="D145" i="141" s="1"/>
  <c r="D124" i="141" s="1"/>
  <c r="D102" i="141" s="1"/>
  <c r="D80" i="141" s="1"/>
  <c r="C205" i="141"/>
  <c r="C186" i="141" s="1"/>
  <c r="C166" i="141" s="1"/>
  <c r="C145" i="141" s="1"/>
  <c r="C124" i="141" s="1"/>
  <c r="C102" i="141" s="1"/>
  <c r="C80" i="141" s="1"/>
  <c r="K204" i="141"/>
  <c r="K185" i="141" s="1"/>
  <c r="K165" i="141" s="1"/>
  <c r="K144" i="141" s="1"/>
  <c r="K123" i="141" s="1"/>
  <c r="K101" i="141" s="1"/>
  <c r="J204" i="141"/>
  <c r="J185" i="141" s="1"/>
  <c r="J165" i="141" s="1"/>
  <c r="J144" i="141" s="1"/>
  <c r="J123" i="141" s="1"/>
  <c r="J101" i="141" s="1"/>
  <c r="J79" i="141" s="1"/>
  <c r="I204" i="141"/>
  <c r="I185" i="141" s="1"/>
  <c r="I165" i="141" s="1"/>
  <c r="I144" i="141" s="1"/>
  <c r="I123" i="141" s="1"/>
  <c r="I101" i="141" s="1"/>
  <c r="I79" i="141" s="1"/>
  <c r="H204" i="141"/>
  <c r="H185" i="141" s="1"/>
  <c r="H165" i="141" s="1"/>
  <c r="H144" i="141" s="1"/>
  <c r="H123" i="141" s="1"/>
  <c r="H101" i="141" s="1"/>
  <c r="H79" i="141" s="1"/>
  <c r="G204" i="141"/>
  <c r="G185" i="141" s="1"/>
  <c r="G165" i="141" s="1"/>
  <c r="G144" i="141" s="1"/>
  <c r="G123" i="141" s="1"/>
  <c r="G101" i="141" s="1"/>
  <c r="G79" i="141" s="1"/>
  <c r="F204" i="141"/>
  <c r="F185" i="141" s="1"/>
  <c r="F165" i="141" s="1"/>
  <c r="F144" i="141" s="1"/>
  <c r="F123" i="141" s="1"/>
  <c r="F101" i="141" s="1"/>
  <c r="F79" i="141" s="1"/>
  <c r="E204" i="141"/>
  <c r="E185" i="141" s="1"/>
  <c r="E165" i="141" s="1"/>
  <c r="E144" i="141" s="1"/>
  <c r="E123" i="141" s="1"/>
  <c r="E101" i="141" s="1"/>
  <c r="E79" i="141" s="1"/>
  <c r="D204" i="141"/>
  <c r="D185" i="141" s="1"/>
  <c r="D165" i="141" s="1"/>
  <c r="D144" i="141" s="1"/>
  <c r="D123" i="141" s="1"/>
  <c r="D101" i="141" s="1"/>
  <c r="D79" i="141" s="1"/>
  <c r="C204" i="141"/>
  <c r="C185" i="141" s="1"/>
  <c r="C165" i="141" s="1"/>
  <c r="C144" i="141" s="1"/>
  <c r="C123" i="141" s="1"/>
  <c r="C101" i="141" s="1"/>
  <c r="C79" i="141" s="1"/>
  <c r="K203" i="141"/>
  <c r="K184" i="141" s="1"/>
  <c r="K164" i="141" s="1"/>
  <c r="K143" i="141" s="1"/>
  <c r="K122" i="141" s="1"/>
  <c r="K100" i="141" s="1"/>
  <c r="J203" i="141"/>
  <c r="J184" i="141"/>
  <c r="J164" i="141" s="1"/>
  <c r="J143" i="141" s="1"/>
  <c r="J122" i="141" s="1"/>
  <c r="J100" i="141" s="1"/>
  <c r="J78" i="141" s="1"/>
  <c r="I203" i="141"/>
  <c r="I184" i="141" s="1"/>
  <c r="I164" i="141" s="1"/>
  <c r="I143" i="141" s="1"/>
  <c r="I122" i="141" s="1"/>
  <c r="I100" i="141" s="1"/>
  <c r="I78" i="141" s="1"/>
  <c r="H203" i="141"/>
  <c r="H184" i="141" s="1"/>
  <c r="H164" i="141" s="1"/>
  <c r="H143" i="141" s="1"/>
  <c r="H122" i="141" s="1"/>
  <c r="H100" i="141" s="1"/>
  <c r="H78" i="141" s="1"/>
  <c r="G203" i="141"/>
  <c r="G184" i="141" s="1"/>
  <c r="G164" i="141" s="1"/>
  <c r="G143" i="141" s="1"/>
  <c r="G122" i="141" s="1"/>
  <c r="G100" i="141" s="1"/>
  <c r="G78" i="141" s="1"/>
  <c r="F203" i="141"/>
  <c r="F184" i="141" s="1"/>
  <c r="F164" i="141" s="1"/>
  <c r="F143" i="141" s="1"/>
  <c r="F122" i="141" s="1"/>
  <c r="F100" i="141" s="1"/>
  <c r="F78" i="141" s="1"/>
  <c r="E203" i="141"/>
  <c r="E184" i="141" s="1"/>
  <c r="E164" i="141" s="1"/>
  <c r="E143" i="141" s="1"/>
  <c r="E122" i="141" s="1"/>
  <c r="E100" i="141" s="1"/>
  <c r="E78" i="141" s="1"/>
  <c r="D203" i="141"/>
  <c r="D184" i="141" s="1"/>
  <c r="D164" i="141" s="1"/>
  <c r="D143" i="141" s="1"/>
  <c r="D122" i="141" s="1"/>
  <c r="D100" i="141" s="1"/>
  <c r="D78" i="141" s="1"/>
  <c r="C203" i="141"/>
  <c r="C184" i="141" s="1"/>
  <c r="C164" i="141" s="1"/>
  <c r="C143" i="141" s="1"/>
  <c r="C122" i="141" s="1"/>
  <c r="C100" i="141" s="1"/>
  <c r="C78" i="141" s="1"/>
  <c r="K202" i="141"/>
  <c r="K183" i="141" s="1"/>
  <c r="J202" i="141"/>
  <c r="J183" i="141" s="1"/>
  <c r="I202" i="141"/>
  <c r="I183" i="141" s="1"/>
  <c r="H202" i="141"/>
  <c r="H183" i="141" s="1"/>
  <c r="H163" i="141" s="1"/>
  <c r="G202" i="141"/>
  <c r="G183" i="141" s="1"/>
  <c r="F202" i="141"/>
  <c r="F183" i="141" s="1"/>
  <c r="E202" i="141"/>
  <c r="E183" i="141" s="1"/>
  <c r="E163" i="141" s="1"/>
  <c r="E142" i="141" s="1"/>
  <c r="E120" i="141" s="1"/>
  <c r="E98" i="141" s="1"/>
  <c r="D202" i="141"/>
  <c r="D183" i="141" s="1"/>
  <c r="D163" i="141" s="1"/>
  <c r="D142" i="141" s="1"/>
  <c r="D120" i="141" s="1"/>
  <c r="D98" i="141" s="1"/>
  <c r="C202" i="141"/>
  <c r="C183" i="141" s="1"/>
  <c r="C163" i="141" s="1"/>
  <c r="C142" i="141" s="1"/>
  <c r="C120" i="141" s="1"/>
  <c r="C98" i="141" s="1"/>
  <c r="B202" i="141"/>
  <c r="B183" i="141" s="1"/>
  <c r="B163" i="141" s="1"/>
  <c r="B142" i="141" s="1"/>
  <c r="B120" i="141" s="1"/>
  <c r="B203" i="141"/>
  <c r="B184" i="141" s="1"/>
  <c r="B204" i="141"/>
  <c r="B185" i="141" s="1"/>
  <c r="B165" i="141" s="1"/>
  <c r="B144" i="141" s="1"/>
  <c r="B123" i="141" s="1"/>
  <c r="B205" i="141"/>
  <c r="B186" i="141" s="1"/>
  <c r="B166" i="141" s="1"/>
  <c r="B145" i="141" s="1"/>
  <c r="B124" i="141" s="1"/>
  <c r="S34" i="15"/>
  <c r="S11" i="15"/>
  <c r="S12" i="15"/>
  <c r="K201" i="141"/>
  <c r="K182" i="141" s="1"/>
  <c r="K190" i="141" s="1"/>
  <c r="J201" i="141"/>
  <c r="J182" i="141" s="1"/>
  <c r="J209" i="141"/>
  <c r="I201" i="141"/>
  <c r="H201" i="141"/>
  <c r="H210" i="141" s="1"/>
  <c r="G201" i="141"/>
  <c r="G182" i="141" s="1"/>
  <c r="G162" i="141" s="1"/>
  <c r="G141" i="141" s="1"/>
  <c r="F201" i="141"/>
  <c r="F210" i="141" s="1"/>
  <c r="E201" i="141"/>
  <c r="E182" i="141" s="1"/>
  <c r="E210" i="141"/>
  <c r="D201" i="141"/>
  <c r="C201" i="141"/>
  <c r="K200" i="141"/>
  <c r="K181" i="141" s="1"/>
  <c r="J200" i="141"/>
  <c r="I200" i="141"/>
  <c r="I181" i="141" s="1"/>
  <c r="I161" i="141" s="1"/>
  <c r="I140" i="141" s="1"/>
  <c r="I118" i="141" s="1"/>
  <c r="I96" i="141" s="1"/>
  <c r="I74" i="141" s="1"/>
  <c r="H200" i="141"/>
  <c r="H181" i="141" s="1"/>
  <c r="H161" i="141" s="1"/>
  <c r="H140" i="141" s="1"/>
  <c r="H118" i="141" s="1"/>
  <c r="H96" i="141" s="1"/>
  <c r="H74" i="141" s="1"/>
  <c r="G200" i="141"/>
  <c r="G181" i="141"/>
  <c r="G161" i="141" s="1"/>
  <c r="G140" i="141" s="1"/>
  <c r="G118" i="141" s="1"/>
  <c r="G96" i="141" s="1"/>
  <c r="G74" i="141" s="1"/>
  <c r="F200" i="141"/>
  <c r="F181" i="141" s="1"/>
  <c r="E200" i="141"/>
  <c r="E181" i="141" s="1"/>
  <c r="E161" i="141" s="1"/>
  <c r="E140" i="141" s="1"/>
  <c r="E118" i="141" s="1"/>
  <c r="E96" i="141" s="1"/>
  <c r="E74" i="141" s="1"/>
  <c r="D200" i="141"/>
  <c r="D181" i="141" s="1"/>
  <c r="D161" i="141" s="1"/>
  <c r="D140" i="141" s="1"/>
  <c r="D118" i="141" s="1"/>
  <c r="D96" i="141" s="1"/>
  <c r="D74" i="141" s="1"/>
  <c r="C200" i="141"/>
  <c r="C181" i="141" s="1"/>
  <c r="C161" i="141" s="1"/>
  <c r="C140" i="141" s="1"/>
  <c r="C118" i="141" s="1"/>
  <c r="C96" i="141" s="1"/>
  <c r="C74" i="141" s="1"/>
  <c r="K199" i="141"/>
  <c r="K180" i="141" s="1"/>
  <c r="K160" i="141" s="1"/>
  <c r="K139" i="141" s="1"/>
  <c r="K117" i="141" s="1"/>
  <c r="K95" i="141" s="1"/>
  <c r="J199" i="141"/>
  <c r="J180" i="141" s="1"/>
  <c r="J160" i="141" s="1"/>
  <c r="J139" i="141" s="1"/>
  <c r="J117" i="141" s="1"/>
  <c r="J95" i="141" s="1"/>
  <c r="J73" i="141" s="1"/>
  <c r="I199" i="141"/>
  <c r="I180" i="141"/>
  <c r="I160" i="141" s="1"/>
  <c r="I139" i="141" s="1"/>
  <c r="I117" i="141" s="1"/>
  <c r="I95" i="141" s="1"/>
  <c r="I73" i="141" s="1"/>
  <c r="H199" i="141"/>
  <c r="H180" i="141" s="1"/>
  <c r="H160" i="141" s="1"/>
  <c r="H139" i="141" s="1"/>
  <c r="H117" i="141" s="1"/>
  <c r="H95" i="141" s="1"/>
  <c r="H73" i="141" s="1"/>
  <c r="G199" i="141"/>
  <c r="G180" i="141" s="1"/>
  <c r="G160" i="141" s="1"/>
  <c r="G139" i="141" s="1"/>
  <c r="G117" i="141" s="1"/>
  <c r="G95" i="141" s="1"/>
  <c r="G73" i="141" s="1"/>
  <c r="F199" i="141"/>
  <c r="F180" i="141" s="1"/>
  <c r="F160" i="141" s="1"/>
  <c r="F139" i="141" s="1"/>
  <c r="F117" i="141" s="1"/>
  <c r="F95" i="141" s="1"/>
  <c r="F73" i="141" s="1"/>
  <c r="E199" i="141"/>
  <c r="E180" i="141" s="1"/>
  <c r="E160" i="141" s="1"/>
  <c r="E139" i="141" s="1"/>
  <c r="E117" i="141" s="1"/>
  <c r="E95" i="141" s="1"/>
  <c r="E73" i="141" s="1"/>
  <c r="D199" i="141"/>
  <c r="D180" i="141" s="1"/>
  <c r="D160" i="141" s="1"/>
  <c r="D139" i="141" s="1"/>
  <c r="D117" i="141" s="1"/>
  <c r="D95" i="141" s="1"/>
  <c r="D73" i="141" s="1"/>
  <c r="C199" i="141"/>
  <c r="C180" i="141" s="1"/>
  <c r="C160" i="141" s="1"/>
  <c r="C139" i="141" s="1"/>
  <c r="C117" i="141" s="1"/>
  <c r="C95" i="141" s="1"/>
  <c r="C73" i="141" s="1"/>
  <c r="K198" i="141"/>
  <c r="K179" i="141" s="1"/>
  <c r="K159" i="141" s="1"/>
  <c r="K138" i="141" s="1"/>
  <c r="K116" i="141" s="1"/>
  <c r="K94" i="141" s="1"/>
  <c r="J198" i="141"/>
  <c r="J179" i="141" s="1"/>
  <c r="J159" i="141" s="1"/>
  <c r="J138" i="141" s="1"/>
  <c r="J116" i="141" s="1"/>
  <c r="J94" i="141" s="1"/>
  <c r="J72" i="141" s="1"/>
  <c r="I198" i="141"/>
  <c r="I179" i="141" s="1"/>
  <c r="I159" i="141" s="1"/>
  <c r="I138" i="141" s="1"/>
  <c r="I116" i="141" s="1"/>
  <c r="I94" i="141" s="1"/>
  <c r="I72" i="141" s="1"/>
  <c r="H198" i="141"/>
  <c r="H179" i="141" s="1"/>
  <c r="G198" i="141"/>
  <c r="G179" i="141"/>
  <c r="G159" i="141" s="1"/>
  <c r="G138" i="141" s="1"/>
  <c r="G116" i="141" s="1"/>
  <c r="G94" i="141" s="1"/>
  <c r="G72" i="141" s="1"/>
  <c r="F198" i="141"/>
  <c r="F179" i="141" s="1"/>
  <c r="F159" i="141" s="1"/>
  <c r="F138" i="141" s="1"/>
  <c r="F116" i="141" s="1"/>
  <c r="F94" i="141" s="1"/>
  <c r="F72" i="141" s="1"/>
  <c r="E198" i="141"/>
  <c r="E179" i="141" s="1"/>
  <c r="E159" i="141" s="1"/>
  <c r="E138" i="141" s="1"/>
  <c r="E116" i="141" s="1"/>
  <c r="E94" i="141" s="1"/>
  <c r="E72" i="141" s="1"/>
  <c r="D198" i="141"/>
  <c r="D179" i="141" s="1"/>
  <c r="D159" i="141" s="1"/>
  <c r="D138" i="141" s="1"/>
  <c r="D116" i="141" s="1"/>
  <c r="D94" i="141" s="1"/>
  <c r="D72" i="141" s="1"/>
  <c r="C198" i="141"/>
  <c r="C179" i="141"/>
  <c r="C159" i="141" s="1"/>
  <c r="C138" i="141" s="1"/>
  <c r="C116" i="141" s="1"/>
  <c r="C94" i="141" s="1"/>
  <c r="C72" i="141" s="1"/>
  <c r="K197" i="141"/>
  <c r="K178" i="141" s="1"/>
  <c r="K158" i="141" s="1"/>
  <c r="K137" i="141" s="1"/>
  <c r="K115" i="141" s="1"/>
  <c r="K93" i="141" s="1"/>
  <c r="J197" i="141"/>
  <c r="J178" i="141"/>
  <c r="J158" i="141" s="1"/>
  <c r="J137" i="141" s="1"/>
  <c r="J115" i="141" s="1"/>
  <c r="J93" i="141" s="1"/>
  <c r="J71" i="141" s="1"/>
  <c r="I197" i="141"/>
  <c r="I178" i="141" s="1"/>
  <c r="I158" i="141" s="1"/>
  <c r="I137" i="141" s="1"/>
  <c r="I115" i="141" s="1"/>
  <c r="I93" i="141" s="1"/>
  <c r="I71" i="141" s="1"/>
  <c r="H197" i="141"/>
  <c r="H178" i="141"/>
  <c r="H158" i="141" s="1"/>
  <c r="H137" i="141" s="1"/>
  <c r="H115" i="141" s="1"/>
  <c r="H93" i="141" s="1"/>
  <c r="H71" i="141" s="1"/>
  <c r="G197" i="141"/>
  <c r="G178" i="141" s="1"/>
  <c r="G158" i="141" s="1"/>
  <c r="G137" i="141" s="1"/>
  <c r="G115" i="141" s="1"/>
  <c r="G93" i="141" s="1"/>
  <c r="G71" i="141" s="1"/>
  <c r="F197" i="141"/>
  <c r="F178" i="141" s="1"/>
  <c r="F158" i="141" s="1"/>
  <c r="F137" i="141" s="1"/>
  <c r="F115" i="141" s="1"/>
  <c r="F93" i="141" s="1"/>
  <c r="F71" i="141" s="1"/>
  <c r="E197" i="141"/>
  <c r="E178" i="141" s="1"/>
  <c r="E158" i="141" s="1"/>
  <c r="E137" i="141" s="1"/>
  <c r="E115" i="141" s="1"/>
  <c r="E93" i="141" s="1"/>
  <c r="E71" i="141" s="1"/>
  <c r="D197" i="141"/>
  <c r="D178" i="141" s="1"/>
  <c r="D158" i="141" s="1"/>
  <c r="D137" i="141" s="1"/>
  <c r="D115" i="141" s="1"/>
  <c r="D93" i="141" s="1"/>
  <c r="D71" i="141" s="1"/>
  <c r="C197" i="141"/>
  <c r="C178" i="141"/>
  <c r="C158" i="141" s="1"/>
  <c r="C137" i="141" s="1"/>
  <c r="C115" i="141" s="1"/>
  <c r="C93" i="141" s="1"/>
  <c r="C71" i="141" s="1"/>
  <c r="K196" i="141"/>
  <c r="K177" i="141" s="1"/>
  <c r="K157" i="141" s="1"/>
  <c r="K136" i="141" s="1"/>
  <c r="K114" i="141" s="1"/>
  <c r="K92" i="141" s="1"/>
  <c r="J196" i="141"/>
  <c r="J177" i="141" s="1"/>
  <c r="J157" i="141" s="1"/>
  <c r="J136" i="141" s="1"/>
  <c r="J114" i="141" s="1"/>
  <c r="J92" i="141" s="1"/>
  <c r="J70" i="141" s="1"/>
  <c r="I196" i="141"/>
  <c r="I177" i="141" s="1"/>
  <c r="I157" i="141" s="1"/>
  <c r="I136" i="141" s="1"/>
  <c r="I114" i="141" s="1"/>
  <c r="I92" i="141" s="1"/>
  <c r="I70" i="141" s="1"/>
  <c r="H196" i="141"/>
  <c r="H177" i="141" s="1"/>
  <c r="H157" i="141" s="1"/>
  <c r="H136" i="141" s="1"/>
  <c r="H114" i="141" s="1"/>
  <c r="H92" i="141" s="1"/>
  <c r="H70" i="141" s="1"/>
  <c r="G196" i="141"/>
  <c r="G177" i="141" s="1"/>
  <c r="G157" i="141" s="1"/>
  <c r="G136" i="141" s="1"/>
  <c r="G114" i="141" s="1"/>
  <c r="G92" i="141" s="1"/>
  <c r="G70" i="141" s="1"/>
  <c r="F196" i="141"/>
  <c r="F177" i="141" s="1"/>
  <c r="F157" i="141" s="1"/>
  <c r="F136" i="141" s="1"/>
  <c r="F114" i="141" s="1"/>
  <c r="F92" i="141" s="1"/>
  <c r="F70" i="141" s="1"/>
  <c r="E196" i="141"/>
  <c r="E177" i="141" s="1"/>
  <c r="D196" i="141"/>
  <c r="D177" i="141" s="1"/>
  <c r="D157" i="141" s="1"/>
  <c r="D136" i="141" s="1"/>
  <c r="D114" i="141" s="1"/>
  <c r="D92" i="141" s="1"/>
  <c r="D70" i="141" s="1"/>
  <c r="C196" i="141"/>
  <c r="C177" i="141"/>
  <c r="C157" i="141" s="1"/>
  <c r="C136" i="141" s="1"/>
  <c r="C114" i="141" s="1"/>
  <c r="C92" i="141" s="1"/>
  <c r="C70" i="141" s="1"/>
  <c r="B201" i="141"/>
  <c r="B210" i="141" s="1"/>
  <c r="B200" i="141"/>
  <c r="B181" i="141" s="1"/>
  <c r="B161" i="141" s="1"/>
  <c r="B140" i="141" s="1"/>
  <c r="B118" i="141" s="1"/>
  <c r="B199" i="141"/>
  <c r="B180" i="141" s="1"/>
  <c r="B160" i="141" s="1"/>
  <c r="B139" i="141" s="1"/>
  <c r="B117" i="141" s="1"/>
  <c r="B198" i="141"/>
  <c r="B179" i="141" s="1"/>
  <c r="B159" i="141" s="1"/>
  <c r="B138" i="141" s="1"/>
  <c r="B116" i="141" s="1"/>
  <c r="B197" i="141"/>
  <c r="B178" i="141" s="1"/>
  <c r="B158" i="141" s="1"/>
  <c r="B137" i="141" s="1"/>
  <c r="B115" i="141" s="1"/>
  <c r="B196" i="141"/>
  <c r="B177" i="141" s="1"/>
  <c r="B157" i="141" s="1"/>
  <c r="B136" i="141" s="1"/>
  <c r="B114" i="141" s="1"/>
  <c r="G209" i="141"/>
  <c r="C12" i="15"/>
  <c r="C10" i="17"/>
  <c r="C16" i="17" s="1"/>
  <c r="D23" i="5"/>
  <c r="C12" i="5"/>
  <c r="P12" i="5"/>
  <c r="C23" i="5"/>
  <c r="P23" i="5"/>
  <c r="C26" i="5"/>
  <c r="D26" i="5"/>
  <c r="P26" i="5"/>
  <c r="C13" i="22"/>
  <c r="P13" i="22"/>
  <c r="C25" i="22"/>
  <c r="D25" i="22"/>
  <c r="P25" i="22"/>
  <c r="C12" i="18"/>
  <c r="P12" i="18"/>
  <c r="C18" i="18"/>
  <c r="D18" i="18"/>
  <c r="P18" i="18"/>
  <c r="C13" i="23"/>
  <c r="P13" i="23"/>
  <c r="C18" i="23"/>
  <c r="D18" i="23"/>
  <c r="P16" i="17"/>
  <c r="C50" i="17"/>
  <c r="D50" i="17"/>
  <c r="P50" i="17"/>
  <c r="C12" i="56"/>
  <c r="P12" i="56"/>
  <c r="C22" i="56"/>
  <c r="D22" i="56"/>
  <c r="C9" i="15"/>
  <c r="P9" i="15"/>
  <c r="C10" i="15"/>
  <c r="P10" i="15"/>
  <c r="S10" i="15"/>
  <c r="P11" i="15"/>
  <c r="Q11" i="15"/>
  <c r="P12" i="15"/>
  <c r="Q12" i="15"/>
  <c r="C13" i="15"/>
  <c r="C14" i="15"/>
  <c r="C16" i="15"/>
  <c r="P13" i="15"/>
  <c r="P14" i="15"/>
  <c r="Q14" i="15"/>
  <c r="S14" i="15"/>
  <c r="P15" i="15"/>
  <c r="Q15" i="15"/>
  <c r="S15" i="15"/>
  <c r="P16" i="15"/>
  <c r="Q16" i="15"/>
  <c r="S16" i="15"/>
  <c r="C20" i="15"/>
  <c r="D20" i="15"/>
  <c r="D21" i="15"/>
  <c r="D22" i="15"/>
  <c r="D23" i="15"/>
  <c r="D24" i="15"/>
  <c r="D25" i="15"/>
  <c r="D26" i="15"/>
  <c r="D27" i="15"/>
  <c r="D28" i="15"/>
  <c r="D29" i="15"/>
  <c r="D31" i="15"/>
  <c r="D32" i="15"/>
  <c r="D33" i="15"/>
  <c r="D34" i="15"/>
  <c r="D35" i="15"/>
  <c r="D36" i="15"/>
  <c r="D37" i="15"/>
  <c r="D38" i="15"/>
  <c r="D39" i="15"/>
  <c r="D40" i="15"/>
  <c r="D41" i="15"/>
  <c r="D42" i="15"/>
  <c r="D43" i="15"/>
  <c r="D44" i="15"/>
  <c r="D45" i="15"/>
  <c r="D46" i="15"/>
  <c r="D47" i="15"/>
  <c r="D49" i="15"/>
  <c r="D50" i="15"/>
  <c r="D51" i="15"/>
  <c r="D52" i="15"/>
  <c r="D53" i="15"/>
  <c r="P20" i="15"/>
  <c r="Q20" i="15"/>
  <c r="S20" i="15"/>
  <c r="C21" i="15"/>
  <c r="P21" i="15"/>
  <c r="Q21" i="15"/>
  <c r="S21" i="15"/>
  <c r="C22" i="15"/>
  <c r="P22" i="15"/>
  <c r="Q22" i="15"/>
  <c r="S22" i="15"/>
  <c r="C23" i="15"/>
  <c r="P23" i="15"/>
  <c r="Q23" i="15"/>
  <c r="S23" i="15"/>
  <c r="C24" i="15"/>
  <c r="P24" i="15"/>
  <c r="Q24" i="15"/>
  <c r="S24" i="15"/>
  <c r="C25" i="15"/>
  <c r="P25" i="15"/>
  <c r="Q25" i="15"/>
  <c r="S25" i="15"/>
  <c r="C26" i="15"/>
  <c r="P26" i="15"/>
  <c r="Q26" i="15"/>
  <c r="S26" i="15"/>
  <c r="C27" i="15"/>
  <c r="P27" i="15"/>
  <c r="Q27" i="15"/>
  <c r="S27" i="15"/>
  <c r="C28" i="15"/>
  <c r="P28" i="15"/>
  <c r="Q28" i="15"/>
  <c r="S28" i="15"/>
  <c r="C29" i="15"/>
  <c r="P29" i="15"/>
  <c r="Q29" i="15"/>
  <c r="S29" i="15"/>
  <c r="C31" i="15"/>
  <c r="P31" i="15"/>
  <c r="Q31" i="15"/>
  <c r="S31" i="15"/>
  <c r="C32" i="15"/>
  <c r="P32" i="15"/>
  <c r="Q32" i="15"/>
  <c r="S32" i="15"/>
  <c r="C33" i="15"/>
  <c r="P33" i="15"/>
  <c r="Q33" i="15"/>
  <c r="S33" i="15"/>
  <c r="C34" i="15"/>
  <c r="P34" i="15"/>
  <c r="Q34" i="15"/>
  <c r="C35" i="15"/>
  <c r="C36" i="15"/>
  <c r="C37" i="15"/>
  <c r="C38" i="15"/>
  <c r="C39" i="15"/>
  <c r="C40" i="15"/>
  <c r="C41" i="15"/>
  <c r="C42" i="15"/>
  <c r="C43" i="15"/>
  <c r="C44" i="15"/>
  <c r="C45" i="15"/>
  <c r="C46" i="15"/>
  <c r="C47" i="15"/>
  <c r="C49" i="15"/>
  <c r="C50" i="15"/>
  <c r="C51" i="15"/>
  <c r="C52" i="15"/>
  <c r="C53" i="15"/>
  <c r="P35" i="15"/>
  <c r="Q35" i="15"/>
  <c r="S35" i="15"/>
  <c r="P36" i="15"/>
  <c r="Q36" i="15"/>
  <c r="S36" i="15"/>
  <c r="P37" i="15"/>
  <c r="Q37" i="15"/>
  <c r="S37" i="15"/>
  <c r="P38" i="15"/>
  <c r="Q38" i="15"/>
  <c r="S38" i="15"/>
  <c r="P39" i="15"/>
  <c r="Q39" i="15"/>
  <c r="S39" i="15"/>
  <c r="P40" i="15"/>
  <c r="Q40" i="15"/>
  <c r="S40" i="15"/>
  <c r="P41" i="15"/>
  <c r="Q41" i="15"/>
  <c r="S41" i="15"/>
  <c r="P42" i="15"/>
  <c r="Q42" i="15"/>
  <c r="S42" i="15"/>
  <c r="P43" i="15"/>
  <c r="Q43" i="15"/>
  <c r="S43" i="15"/>
  <c r="P44" i="15"/>
  <c r="Q44" i="15"/>
  <c r="S44" i="15"/>
  <c r="P45" i="15"/>
  <c r="Q45" i="15"/>
  <c r="S45" i="15"/>
  <c r="P46" i="15"/>
  <c r="Q46" i="15"/>
  <c r="S46" i="15"/>
  <c r="P47" i="15"/>
  <c r="Q47" i="15"/>
  <c r="S47" i="15"/>
  <c r="P49" i="15"/>
  <c r="Q49" i="15"/>
  <c r="S49" i="15"/>
  <c r="P50" i="15"/>
  <c r="Q50" i="15"/>
  <c r="S50" i="15"/>
  <c r="P51" i="15"/>
  <c r="Q51" i="15"/>
  <c r="S51" i="15"/>
  <c r="P52" i="15"/>
  <c r="Q52" i="15"/>
  <c r="S52" i="15"/>
  <c r="P53" i="15"/>
  <c r="Q53" i="15"/>
  <c r="S53" i="15"/>
  <c r="R98" i="15"/>
  <c r="Q13" i="15"/>
  <c r="Y100" i="15"/>
  <c r="C39" i="87"/>
  <c r="C41" i="87" s="1"/>
  <c r="D39" i="87"/>
  <c r="D41" i="87" s="1"/>
  <c r="P39" i="87"/>
  <c r="P41" i="87" s="1"/>
  <c r="S13" i="15"/>
  <c r="J181" i="141"/>
  <c r="J161" i="141" s="1"/>
  <c r="J140" i="141" s="1"/>
  <c r="J118" i="141" s="1"/>
  <c r="J96" i="141" s="1"/>
  <c r="J74" i="141" s="1"/>
  <c r="B182" i="141"/>
  <c r="B191" i="141" s="1"/>
  <c r="J210" i="141"/>
  <c r="F182" i="141"/>
  <c r="F162" i="141" s="1"/>
  <c r="H182" i="141"/>
  <c r="F209" i="141"/>
  <c r="H209" i="141"/>
  <c r="I41" i="87"/>
  <c r="I20" i="18"/>
  <c r="E27" i="22"/>
  <c r="F190" i="141"/>
  <c r="H191" i="141"/>
  <c r="K191" i="141"/>
  <c r="D209" i="141"/>
  <c r="K210" i="141"/>
  <c r="E191" i="141"/>
  <c r="E209" i="141"/>
  <c r="K209" i="141"/>
  <c r="P85" i="15"/>
  <c r="P88" i="15"/>
  <c r="G192" i="141"/>
  <c r="G163" i="141"/>
  <c r="G142" i="141" s="1"/>
  <c r="B164" i="141"/>
  <c r="B143" i="141" s="1"/>
  <c r="B122" i="141" s="1"/>
  <c r="H192" i="141"/>
  <c r="G171" i="141"/>
  <c r="G190" i="141"/>
  <c r="G191" i="141"/>
  <c r="B190" i="141"/>
  <c r="F191" i="141"/>
  <c r="I182" i="141"/>
  <c r="I162" i="141" s="1"/>
  <c r="I141" i="141" s="1"/>
  <c r="K192" i="141"/>
  <c r="K163" i="141"/>
  <c r="K142" i="141" s="1"/>
  <c r="H190" i="141"/>
  <c r="H162" i="141"/>
  <c r="H141" i="141" s="1"/>
  <c r="H159" i="141"/>
  <c r="H138" i="141" s="1"/>
  <c r="H116" i="141" s="1"/>
  <c r="H94" i="141" s="1"/>
  <c r="H72" i="141" s="1"/>
  <c r="K161" i="141"/>
  <c r="K140" i="141" s="1"/>
  <c r="K118" i="141" s="1"/>
  <c r="K96" i="141" s="1"/>
  <c r="F163" i="141"/>
  <c r="F142" i="141" s="1"/>
  <c r="F120" i="141" s="1"/>
  <c r="F98" i="141" s="1"/>
  <c r="C182" i="141"/>
  <c r="C191" i="141" s="1"/>
  <c r="E157" i="141"/>
  <c r="E136" i="141" s="1"/>
  <c r="E114" i="141" s="1"/>
  <c r="E92" i="141" s="1"/>
  <c r="E70" i="141" s="1"/>
  <c r="F161" i="141"/>
  <c r="F140" i="141" s="1"/>
  <c r="F118" i="141" s="1"/>
  <c r="F96" i="141" s="1"/>
  <c r="F74" i="141" s="1"/>
  <c r="K162" i="141"/>
  <c r="J192" i="141"/>
  <c r="J163" i="141"/>
  <c r="J142" i="141" s="1"/>
  <c r="D11" i="15"/>
  <c r="S41" i="87"/>
  <c r="S12" i="18"/>
  <c r="S12" i="56"/>
  <c r="P82" i="15"/>
  <c r="P83" i="15"/>
  <c r="G170" i="141"/>
  <c r="I190" i="141"/>
  <c r="I191" i="141"/>
  <c r="C162" i="141"/>
  <c r="C141" i="141" s="1"/>
  <c r="K172" i="141"/>
  <c r="Q41" i="87"/>
  <c r="R41" i="87" s="1"/>
  <c r="H171" i="141"/>
  <c r="H170" i="141"/>
  <c r="S13" i="23"/>
  <c r="S9" i="15"/>
  <c r="S16" i="17"/>
  <c r="Q9" i="23" l="1"/>
  <c r="F171" i="141"/>
  <c r="F170" i="141"/>
  <c r="C11" i="15"/>
  <c r="D12" i="56"/>
  <c r="D24" i="56"/>
  <c r="D13" i="23"/>
  <c r="D20" i="23" s="1"/>
  <c r="H57" i="141"/>
  <c r="H35" i="141" s="1"/>
  <c r="C56" i="141"/>
  <c r="C34" i="141" s="1"/>
  <c r="C49" i="141"/>
  <c r="C27" i="141" s="1"/>
  <c r="E56" i="141"/>
  <c r="E34" i="141" s="1"/>
  <c r="D58" i="141"/>
  <c r="D36" i="141" s="1"/>
  <c r="J58" i="141"/>
  <c r="J36" i="141" s="1"/>
  <c r="J162" i="141"/>
  <c r="J171" i="141" s="1"/>
  <c r="J191" i="141"/>
  <c r="J190" i="141"/>
  <c r="F48" i="141"/>
  <c r="F26" i="141" s="1"/>
  <c r="E51" i="141"/>
  <c r="E29" i="141" s="1"/>
  <c r="F56" i="141"/>
  <c r="F34" i="141" s="1"/>
  <c r="E58" i="141"/>
  <c r="E36" i="141" s="1"/>
  <c r="D50" i="141"/>
  <c r="D28" i="141" s="1"/>
  <c r="G48" i="141"/>
  <c r="G26" i="141" s="1"/>
  <c r="H142" i="141"/>
  <c r="H120" i="141" s="1"/>
  <c r="H172" i="141"/>
  <c r="E50" i="141"/>
  <c r="E28" i="141" s="1"/>
  <c r="K141" i="141"/>
  <c r="K150" i="141" s="1"/>
  <c r="K170" i="141"/>
  <c r="K171" i="141"/>
  <c r="E49" i="141"/>
  <c r="E27" i="141" s="1"/>
  <c r="I192" i="141"/>
  <c r="I163" i="141"/>
  <c r="I142" i="141" s="1"/>
  <c r="I120" i="141" s="1"/>
  <c r="H49" i="141"/>
  <c r="H27" i="141" s="1"/>
  <c r="C170" i="141"/>
  <c r="C190" i="141"/>
  <c r="F52" i="141"/>
  <c r="F30" i="141" s="1"/>
  <c r="H51" i="141"/>
  <c r="H29" i="141" s="1"/>
  <c r="E52" i="141"/>
  <c r="E30" i="141" s="1"/>
  <c r="C210" i="141"/>
  <c r="C209" i="141"/>
  <c r="I210" i="141"/>
  <c r="I209" i="141"/>
  <c r="J48" i="141"/>
  <c r="J26" i="141" s="1"/>
  <c r="C55" i="17"/>
  <c r="J50" i="141"/>
  <c r="J28" i="141" s="1"/>
  <c r="I51" i="141"/>
  <c r="I29" i="141" s="1"/>
  <c r="D210" i="141"/>
  <c r="D182" i="141"/>
  <c r="J52" i="141"/>
  <c r="J30" i="141" s="1"/>
  <c r="F49" i="141"/>
  <c r="F27" i="141" s="1"/>
  <c r="C50" i="141"/>
  <c r="C28" i="141" s="1"/>
  <c r="I50" i="141"/>
  <c r="I28" i="141" s="1"/>
  <c r="F51" i="141"/>
  <c r="F29" i="141" s="1"/>
  <c r="D52" i="141"/>
  <c r="D30" i="141" s="1"/>
  <c r="D56" i="141"/>
  <c r="D34" i="141" s="1"/>
  <c r="J56" i="141"/>
  <c r="J34" i="141" s="1"/>
  <c r="F57" i="141"/>
  <c r="F35" i="141" s="1"/>
  <c r="C58" i="141"/>
  <c r="C36" i="141" s="1"/>
  <c r="I58" i="141"/>
  <c r="I36" i="141" s="1"/>
  <c r="G49" i="141"/>
  <c r="G27" i="141" s="1"/>
  <c r="G51" i="141"/>
  <c r="G29" i="141" s="1"/>
  <c r="G57" i="141"/>
  <c r="G35" i="141" s="1"/>
  <c r="H48" i="141"/>
  <c r="H26" i="141" s="1"/>
  <c r="I49" i="141"/>
  <c r="I27" i="141" s="1"/>
  <c r="F50" i="141"/>
  <c r="F28" i="141" s="1"/>
  <c r="C51" i="141"/>
  <c r="C29" i="141" s="1"/>
  <c r="G52" i="141"/>
  <c r="G30" i="141" s="1"/>
  <c r="G56" i="141"/>
  <c r="G34" i="141" s="1"/>
  <c r="C57" i="141"/>
  <c r="C35" i="141" s="1"/>
  <c r="I57" i="141"/>
  <c r="I35" i="141" s="1"/>
  <c r="F58" i="141"/>
  <c r="F36" i="141" s="1"/>
  <c r="E48" i="141"/>
  <c r="E26" i="141" s="1"/>
  <c r="H50" i="141"/>
  <c r="H28" i="141" s="1"/>
  <c r="B209" i="141"/>
  <c r="C48" i="141"/>
  <c r="C26" i="141" s="1"/>
  <c r="D49" i="141"/>
  <c r="D27" i="141" s="1"/>
  <c r="J49" i="141"/>
  <c r="J27" i="141" s="1"/>
  <c r="G50" i="141"/>
  <c r="G28" i="141" s="1"/>
  <c r="D51" i="141"/>
  <c r="D29" i="141" s="1"/>
  <c r="J51" i="141"/>
  <c r="J29" i="141" s="1"/>
  <c r="D57" i="141"/>
  <c r="D35" i="141" s="1"/>
  <c r="J57" i="141"/>
  <c r="J35" i="141" s="1"/>
  <c r="G58" i="141"/>
  <c r="G36" i="141" s="1"/>
  <c r="I48" i="141"/>
  <c r="I26" i="141" s="1"/>
  <c r="H52" i="141"/>
  <c r="H30" i="141" s="1"/>
  <c r="H56" i="141"/>
  <c r="H34" i="141" s="1"/>
  <c r="D48" i="141"/>
  <c r="D26" i="141" s="1"/>
  <c r="C52" i="141"/>
  <c r="C30" i="141" s="1"/>
  <c r="I52" i="141"/>
  <c r="I30" i="141" s="1"/>
  <c r="I56" i="141"/>
  <c r="I34" i="141" s="1"/>
  <c r="E57" i="141"/>
  <c r="E35" i="141" s="1"/>
  <c r="H58" i="141"/>
  <c r="H36" i="141" s="1"/>
  <c r="Q13" i="22"/>
  <c r="S13" i="22" s="1"/>
  <c r="S27" i="22" s="1"/>
  <c r="I119" i="141"/>
  <c r="I151" i="141"/>
  <c r="I149" i="141"/>
  <c r="I150" i="141"/>
  <c r="K74" i="141"/>
  <c r="L96" i="141"/>
  <c r="L74" i="141" s="1"/>
  <c r="G172" i="141"/>
  <c r="J141" i="141"/>
  <c r="J170" i="141"/>
  <c r="E162" i="141"/>
  <c r="E190" i="141"/>
  <c r="I170" i="141"/>
  <c r="G120" i="141"/>
  <c r="G152" i="141"/>
  <c r="K73" i="141"/>
  <c r="L95" i="141"/>
  <c r="L73" i="141" s="1"/>
  <c r="D76" i="141"/>
  <c r="D99" i="141"/>
  <c r="K71" i="141"/>
  <c r="L93" i="141"/>
  <c r="L71" i="141" s="1"/>
  <c r="G119" i="141"/>
  <c r="G151" i="141"/>
  <c r="G150" i="141"/>
  <c r="G149" i="141"/>
  <c r="E76" i="141"/>
  <c r="E99" i="141"/>
  <c r="K79" i="141"/>
  <c r="L101" i="141"/>
  <c r="L79" i="141" s="1"/>
  <c r="I171" i="141"/>
  <c r="K78" i="141"/>
  <c r="L100" i="141"/>
  <c r="L78" i="141" s="1"/>
  <c r="H119" i="141"/>
  <c r="H151" i="141"/>
  <c r="H150" i="141"/>
  <c r="H149" i="141"/>
  <c r="C171" i="141"/>
  <c r="K151" i="141"/>
  <c r="I172" i="141"/>
  <c r="C119" i="141"/>
  <c r="C151" i="141"/>
  <c r="C150" i="141"/>
  <c r="C149" i="141"/>
  <c r="J120" i="141"/>
  <c r="J152" i="141"/>
  <c r="J172" i="141"/>
  <c r="K120" i="141"/>
  <c r="K152" i="141"/>
  <c r="K72" i="141"/>
  <c r="L94" i="141"/>
  <c r="L72" i="141" s="1"/>
  <c r="K80" i="141"/>
  <c r="L102" i="141"/>
  <c r="L80" i="141" s="1"/>
  <c r="K70" i="141"/>
  <c r="L92" i="141"/>
  <c r="L70" i="141" s="1"/>
  <c r="F76" i="141"/>
  <c r="F99" i="141"/>
  <c r="C76" i="141"/>
  <c r="C99" i="141"/>
  <c r="B162" i="141"/>
  <c r="G210" i="141"/>
  <c r="F141" i="141"/>
  <c r="F24" i="56"/>
  <c r="R13" i="23"/>
  <c r="P24" i="56"/>
  <c r="P27" i="22"/>
  <c r="C24" i="56"/>
  <c r="O27" i="18"/>
  <c r="P27" i="18" s="1"/>
  <c r="O37" i="22"/>
  <c r="P37" i="22" s="1"/>
  <c r="D20" i="18"/>
  <c r="E28" i="5"/>
  <c r="P55" i="17"/>
  <c r="C27" i="22"/>
  <c r="E24" i="56"/>
  <c r="P20" i="18"/>
  <c r="P20" i="23"/>
  <c r="I20" i="23"/>
  <c r="E17" i="15"/>
  <c r="I17" i="15"/>
  <c r="I55" i="15"/>
  <c r="C55" i="15"/>
  <c r="D55" i="15"/>
  <c r="E55" i="15"/>
  <c r="P17" i="15"/>
  <c r="C17" i="15"/>
  <c r="C28" i="5"/>
  <c r="E55" i="17"/>
  <c r="F20" i="18"/>
  <c r="F55" i="17"/>
  <c r="D16" i="17"/>
  <c r="D55" i="17" s="1"/>
  <c r="C20" i="23"/>
  <c r="E20" i="23"/>
  <c r="F20" i="23"/>
  <c r="C20" i="18"/>
  <c r="Q18" i="18"/>
  <c r="N31" i="18"/>
  <c r="N34" i="18" s="1"/>
  <c r="O34" i="18" s="1"/>
  <c r="P34" i="18" s="1"/>
  <c r="D27" i="22"/>
  <c r="D12" i="5"/>
  <c r="D28" i="5" s="1"/>
  <c r="Q28" i="5"/>
  <c r="Q29" i="5" s="1"/>
  <c r="R29" i="5" s="1"/>
  <c r="S12" i="5"/>
  <c r="S23" i="5"/>
  <c r="P28" i="5"/>
  <c r="D17" i="15"/>
  <c r="S26" i="5"/>
  <c r="F28" i="5"/>
  <c r="F17" i="15"/>
  <c r="F55" i="15"/>
  <c r="Q55" i="15"/>
  <c r="P55" i="15"/>
  <c r="I27" i="22"/>
  <c r="I28" i="5"/>
  <c r="Q9" i="56"/>
  <c r="U55" i="15" l="1"/>
  <c r="R55" i="15"/>
  <c r="I152" i="141"/>
  <c r="R28" i="5"/>
  <c r="Q27" i="22"/>
  <c r="K56" i="141"/>
  <c r="K34" i="141" s="1"/>
  <c r="F54" i="141"/>
  <c r="F32" i="141" s="1"/>
  <c r="L56" i="141"/>
  <c r="L34" i="141" s="1"/>
  <c r="L48" i="141"/>
  <c r="L26" i="141" s="1"/>
  <c r="L57" i="141"/>
  <c r="L35" i="141" s="1"/>
  <c r="L49" i="141"/>
  <c r="L27" i="141" s="1"/>
  <c r="L52" i="141"/>
  <c r="L30" i="141" s="1"/>
  <c r="K50" i="141"/>
  <c r="K28" i="141" s="1"/>
  <c r="K48" i="141"/>
  <c r="K26" i="141" s="1"/>
  <c r="K57" i="141"/>
  <c r="K35" i="141" s="1"/>
  <c r="K49" i="141"/>
  <c r="K27" i="141" s="1"/>
  <c r="K52" i="141"/>
  <c r="K30" i="141" s="1"/>
  <c r="D190" i="141"/>
  <c r="D191" i="141"/>
  <c r="D162" i="141"/>
  <c r="C54" i="141"/>
  <c r="C32" i="141" s="1"/>
  <c r="K119" i="141"/>
  <c r="L58" i="141"/>
  <c r="L36" i="141" s="1"/>
  <c r="P72" i="15"/>
  <c r="K58" i="141"/>
  <c r="K36" i="141" s="1"/>
  <c r="H152" i="141"/>
  <c r="K149" i="141"/>
  <c r="E54" i="141"/>
  <c r="E32" i="141" s="1"/>
  <c r="D54" i="141"/>
  <c r="D32" i="141" s="1"/>
  <c r="K51" i="141"/>
  <c r="K29" i="141" s="1"/>
  <c r="L50" i="141"/>
  <c r="L28" i="141" s="1"/>
  <c r="L51" i="141"/>
  <c r="L29" i="141" s="1"/>
  <c r="C97" i="141"/>
  <c r="C130" i="141"/>
  <c r="C129" i="141"/>
  <c r="C128" i="141"/>
  <c r="H97" i="141"/>
  <c r="H130" i="141"/>
  <c r="H129" i="141"/>
  <c r="H128" i="141"/>
  <c r="K97" i="141"/>
  <c r="K130" i="141"/>
  <c r="K128" i="141"/>
  <c r="K129" i="141"/>
  <c r="B141" i="141"/>
  <c r="B170" i="141"/>
  <c r="B171" i="141"/>
  <c r="K98" i="141"/>
  <c r="K131" i="141"/>
  <c r="E141" i="141"/>
  <c r="E171" i="141"/>
  <c r="E170" i="141"/>
  <c r="G97" i="141"/>
  <c r="G130" i="141"/>
  <c r="G128" i="141"/>
  <c r="G129" i="141"/>
  <c r="G98" i="141"/>
  <c r="G131" i="141"/>
  <c r="J119" i="141"/>
  <c r="J151" i="141"/>
  <c r="J150" i="141"/>
  <c r="J149" i="141"/>
  <c r="I98" i="141"/>
  <c r="I131" i="141"/>
  <c r="I129" i="141"/>
  <c r="I97" i="141"/>
  <c r="I130" i="141"/>
  <c r="I128" i="141"/>
  <c r="J98" i="141"/>
  <c r="J131" i="141"/>
  <c r="P70" i="15"/>
  <c r="F119" i="141"/>
  <c r="F151" i="141"/>
  <c r="F150" i="141"/>
  <c r="F149" i="141"/>
  <c r="H131" i="141"/>
  <c r="H98" i="141"/>
  <c r="S55" i="15"/>
  <c r="P60" i="15"/>
  <c r="D60" i="15"/>
  <c r="I60" i="15"/>
  <c r="E60" i="15"/>
  <c r="C60" i="15"/>
  <c r="Q12" i="56"/>
  <c r="N32" i="56"/>
  <c r="N43" i="56" s="1"/>
  <c r="Q13" i="23"/>
  <c r="Q20" i="23" s="1"/>
  <c r="N26" i="23"/>
  <c r="N33" i="23" s="1"/>
  <c r="F60" i="15"/>
  <c r="Q20" i="18"/>
  <c r="R20" i="18" s="1"/>
  <c r="O31" i="18"/>
  <c r="P31" i="18" s="1"/>
  <c r="P97" i="15"/>
  <c r="N36" i="22"/>
  <c r="N49" i="22" s="1"/>
  <c r="S28" i="5"/>
  <c r="Q28" i="22" l="1"/>
  <c r="R28" i="22" s="1"/>
  <c r="R20" i="23"/>
  <c r="Q21" i="23"/>
  <c r="R21" i="23" s="1"/>
  <c r="Q24" i="56"/>
  <c r="R24" i="56"/>
  <c r="D141" i="141"/>
  <c r="D170" i="141"/>
  <c r="D171" i="141"/>
  <c r="F97" i="141"/>
  <c r="F130" i="141"/>
  <c r="F129" i="141"/>
  <c r="F128" i="141"/>
  <c r="B119" i="141"/>
  <c r="B151" i="141"/>
  <c r="B150" i="141"/>
  <c r="B149" i="141"/>
  <c r="K107" i="141"/>
  <c r="K108" i="141"/>
  <c r="K106" i="141"/>
  <c r="K75" i="141"/>
  <c r="K53" i="141" s="1"/>
  <c r="K31" i="141" s="1"/>
  <c r="L97" i="141"/>
  <c r="G76" i="141"/>
  <c r="G54" i="141" s="1"/>
  <c r="G99" i="141"/>
  <c r="I76" i="141"/>
  <c r="I54" i="141" s="1"/>
  <c r="I99" i="141"/>
  <c r="H76" i="141"/>
  <c r="H54" i="141" s="1"/>
  <c r="H99" i="141"/>
  <c r="E119" i="141"/>
  <c r="E151" i="141"/>
  <c r="E150" i="141"/>
  <c r="E149" i="141"/>
  <c r="C107" i="141"/>
  <c r="C106" i="141"/>
  <c r="C75" i="141"/>
  <c r="C53" i="141" s="1"/>
  <c r="C31" i="141" s="1"/>
  <c r="C108" i="141"/>
  <c r="I108" i="141"/>
  <c r="I107" i="141"/>
  <c r="I106" i="141"/>
  <c r="I75" i="141"/>
  <c r="I53" i="141" s="1"/>
  <c r="I31" i="141" s="1"/>
  <c r="J76" i="141"/>
  <c r="J54" i="141" s="1"/>
  <c r="J99" i="141"/>
  <c r="G75" i="141"/>
  <c r="G53" i="141" s="1"/>
  <c r="G31" i="141" s="1"/>
  <c r="G106" i="141"/>
  <c r="G107" i="141"/>
  <c r="G108" i="141"/>
  <c r="K76" i="141"/>
  <c r="K54" i="141" s="1"/>
  <c r="L98" i="141"/>
  <c r="K99" i="141"/>
  <c r="J97" i="141"/>
  <c r="J129" i="141"/>
  <c r="J130" i="141"/>
  <c r="J128" i="141"/>
  <c r="H108" i="141"/>
  <c r="H107" i="141"/>
  <c r="H75" i="141"/>
  <c r="H53" i="141" s="1"/>
  <c r="H31" i="141" s="1"/>
  <c r="H106" i="141"/>
  <c r="O49" i="22"/>
  <c r="P49" i="22" s="1"/>
  <c r="O33" i="23"/>
  <c r="P33" i="23" s="1"/>
  <c r="O43" i="56"/>
  <c r="P43" i="56" s="1"/>
  <c r="O36" i="22"/>
  <c r="P36" i="22" s="1"/>
  <c r="O32" i="56"/>
  <c r="P32" i="56" s="1"/>
  <c r="O26" i="23"/>
  <c r="P26" i="23" s="1"/>
  <c r="S20" i="23"/>
  <c r="S20" i="18"/>
  <c r="S24" i="56" l="1"/>
  <c r="Q25" i="56"/>
  <c r="R25" i="56" s="1"/>
  <c r="K55" i="141"/>
  <c r="K32" i="141"/>
  <c r="G55" i="141"/>
  <c r="G32" i="141"/>
  <c r="H55" i="141"/>
  <c r="H32" i="141"/>
  <c r="J55" i="141"/>
  <c r="J32" i="141"/>
  <c r="I55" i="141"/>
  <c r="I32" i="141"/>
  <c r="D119" i="141"/>
  <c r="D151" i="141"/>
  <c r="D150" i="141"/>
  <c r="D149" i="141"/>
  <c r="I63" i="141"/>
  <c r="I62" i="141"/>
  <c r="I64" i="141"/>
  <c r="G62" i="141"/>
  <c r="G64" i="141"/>
  <c r="G63" i="141"/>
  <c r="C63" i="141"/>
  <c r="C62" i="141"/>
  <c r="C64" i="141"/>
  <c r="H64" i="141"/>
  <c r="H63" i="141"/>
  <c r="H62" i="141"/>
  <c r="K64" i="141"/>
  <c r="K63" i="141"/>
  <c r="K62" i="141"/>
  <c r="G85" i="141"/>
  <c r="G86" i="141"/>
  <c r="G84" i="141"/>
  <c r="E129" i="141"/>
  <c r="E97" i="141"/>
  <c r="E130" i="141"/>
  <c r="E128" i="141"/>
  <c r="G77" i="141"/>
  <c r="J77" i="141"/>
  <c r="C85" i="141"/>
  <c r="C84" i="141"/>
  <c r="C86" i="141"/>
  <c r="L99" i="141"/>
  <c r="L76" i="141"/>
  <c r="L54" i="141" s="1"/>
  <c r="I85" i="141"/>
  <c r="I86" i="141"/>
  <c r="I84" i="141"/>
  <c r="L107" i="141"/>
  <c r="L108" i="141"/>
  <c r="L75" i="141"/>
  <c r="L53" i="141" s="1"/>
  <c r="L31" i="141" s="1"/>
  <c r="L106" i="141"/>
  <c r="B129" i="141"/>
  <c r="B130" i="141"/>
  <c r="B128" i="141"/>
  <c r="K77" i="141"/>
  <c r="K85" i="141"/>
  <c r="K86" i="141"/>
  <c r="K84" i="141"/>
  <c r="H77" i="141"/>
  <c r="H85" i="141"/>
  <c r="H84" i="141"/>
  <c r="H86" i="141"/>
  <c r="J107" i="141"/>
  <c r="J106" i="141"/>
  <c r="J108" i="141"/>
  <c r="J75" i="141"/>
  <c r="J53" i="141" s="1"/>
  <c r="J31" i="141" s="1"/>
  <c r="I77" i="141"/>
  <c r="F75" i="141"/>
  <c r="F53" i="141" s="1"/>
  <c r="F31" i="141" s="1"/>
  <c r="F106" i="141"/>
  <c r="F107" i="141"/>
  <c r="F108" i="141"/>
  <c r="H33" i="141" l="1"/>
  <c r="I33" i="141"/>
  <c r="J33" i="141"/>
  <c r="G33" i="141"/>
  <c r="K33" i="141"/>
  <c r="L55" i="141"/>
  <c r="L32" i="141"/>
  <c r="C42" i="141"/>
  <c r="C41" i="141"/>
  <c r="C40" i="141"/>
  <c r="J62" i="141"/>
  <c r="J63" i="141"/>
  <c r="J64" i="141"/>
  <c r="I40" i="141"/>
  <c r="I41" i="141"/>
  <c r="I42" i="141"/>
  <c r="H41" i="141"/>
  <c r="H40" i="141"/>
  <c r="H42" i="141"/>
  <c r="F64" i="141"/>
  <c r="F63" i="141"/>
  <c r="F62" i="141"/>
  <c r="L62" i="141"/>
  <c r="L63" i="141"/>
  <c r="L64" i="141"/>
  <c r="K42" i="141"/>
  <c r="K41" i="141"/>
  <c r="K40" i="141"/>
  <c r="G41" i="141"/>
  <c r="G40" i="141"/>
  <c r="G42" i="141"/>
  <c r="D97" i="141"/>
  <c r="D130" i="141"/>
  <c r="D128" i="141"/>
  <c r="D129" i="141"/>
  <c r="F85" i="141"/>
  <c r="F86" i="141"/>
  <c r="F84" i="141"/>
  <c r="L85" i="141"/>
  <c r="L84" i="141"/>
  <c r="L86" i="141"/>
  <c r="J85" i="141"/>
  <c r="J86" i="141"/>
  <c r="J84" i="141"/>
  <c r="E107" i="141"/>
  <c r="E75" i="141"/>
  <c r="E53" i="141" s="1"/>
  <c r="E31" i="141" s="1"/>
  <c r="E106" i="141"/>
  <c r="E108" i="141"/>
  <c r="L77" i="141"/>
  <c r="L33" i="141" l="1"/>
  <c r="F41" i="141"/>
  <c r="F42" i="141"/>
  <c r="F40" i="141"/>
  <c r="J40" i="141"/>
  <c r="J42" i="141"/>
  <c r="J41" i="141"/>
  <c r="D106" i="141"/>
  <c r="D108" i="141"/>
  <c r="D107" i="141"/>
  <c r="D75" i="141"/>
  <c r="E64" i="141"/>
  <c r="E63" i="141"/>
  <c r="E62" i="141"/>
  <c r="L40" i="141"/>
  <c r="L42" i="141"/>
  <c r="L41" i="141"/>
  <c r="E85" i="141"/>
  <c r="E84" i="141"/>
  <c r="E86" i="141"/>
  <c r="P71" i="15"/>
  <c r="Q9" i="17" s="1"/>
  <c r="E41" i="141" l="1"/>
  <c r="E42" i="141"/>
  <c r="E40" i="141"/>
  <c r="D53" i="141"/>
  <c r="D31" i="141" s="1"/>
  <c r="D85" i="141"/>
  <c r="D84" i="141"/>
  <c r="D86" i="141"/>
  <c r="P95" i="15"/>
  <c r="P98" i="15" s="1"/>
  <c r="R16" i="17" l="1"/>
  <c r="R55" i="17" s="1"/>
  <c r="R9" i="15"/>
  <c r="D42" i="141"/>
  <c r="D40" i="141"/>
  <c r="D41" i="141"/>
  <c r="D63" i="141"/>
  <c r="D62" i="141"/>
  <c r="D64" i="141"/>
  <c r="Q9" i="15"/>
  <c r="N63" i="17"/>
  <c r="N103" i="17" s="1"/>
  <c r="Q16" i="17"/>
  <c r="Q55" i="17" s="1"/>
  <c r="S55" i="17" l="1"/>
  <c r="Q56" i="17"/>
  <c r="R56" i="17" s="1"/>
  <c r="Q17" i="15"/>
  <c r="O103" i="17"/>
  <c r="P103" i="17" s="1"/>
  <c r="O63" i="17"/>
  <c r="P63" i="17" s="1"/>
  <c r="S17" i="15" l="1"/>
  <c r="R17" i="15"/>
  <c r="R60" i="15" s="1"/>
  <c r="Q60" i="15"/>
  <c r="Q61" i="15" l="1"/>
  <c r="R61" i="15" s="1"/>
  <c r="S60" i="15"/>
  <c r="G52" i="15"/>
  <c r="G55" i="15" s="1"/>
  <c r="G60" i="15" s="1"/>
</calcChain>
</file>

<file path=xl/sharedStrings.xml><?xml version="1.0" encoding="utf-8"?>
<sst xmlns="http://schemas.openxmlformats.org/spreadsheetml/2006/main" count="1216" uniqueCount="334">
  <si>
    <t>Longevity</t>
  </si>
  <si>
    <t>Total</t>
  </si>
  <si>
    <t>TOC</t>
  </si>
  <si>
    <t>DPW</t>
  </si>
  <si>
    <t>FY2013</t>
  </si>
  <si>
    <t>FY2014</t>
  </si>
  <si>
    <t>FY2015</t>
  </si>
  <si>
    <t>FY2018</t>
  </si>
  <si>
    <t>FY2019</t>
  </si>
  <si>
    <t>FY21</t>
  </si>
  <si>
    <t>FY22</t>
  </si>
  <si>
    <t>FY23</t>
  </si>
  <si>
    <t>Budget</t>
  </si>
  <si>
    <t>Actual</t>
  </si>
  <si>
    <t>FY14</t>
  </si>
  <si>
    <t>FY16</t>
  </si>
  <si>
    <t>FY17</t>
  </si>
  <si>
    <t>FY20</t>
  </si>
  <si>
    <t>FY24</t>
  </si>
  <si>
    <t>Recommend</t>
  </si>
  <si>
    <t>SNOW &amp; ICE</t>
  </si>
  <si>
    <t>SOLID WASTE</t>
  </si>
  <si>
    <t>Department</t>
  </si>
  <si>
    <t>Expended</t>
  </si>
  <si>
    <t>thru</t>
  </si>
  <si>
    <t>Level</t>
  </si>
  <si>
    <t>BOS</t>
  </si>
  <si>
    <t>BOS &amp;</t>
  </si>
  <si>
    <t>Services</t>
  </si>
  <si>
    <t>Fin Comm</t>
  </si>
  <si>
    <t>EXPENDITURES</t>
  </si>
  <si>
    <t>Request</t>
  </si>
  <si>
    <t>TOTAL PERSONAL SERVICES</t>
  </si>
  <si>
    <t>Postage</t>
  </si>
  <si>
    <t>TOTAL EXPENSES</t>
  </si>
  <si>
    <t>$</t>
  </si>
  <si>
    <t>%</t>
  </si>
  <si>
    <t>Change</t>
  </si>
  <si>
    <t>Explanation</t>
  </si>
  <si>
    <t>Totals</t>
  </si>
  <si>
    <t xml:space="preserve">Main </t>
  </si>
  <si>
    <t>Seminars</t>
  </si>
  <si>
    <t>Advertising</t>
  </si>
  <si>
    <t>Office Supplies</t>
  </si>
  <si>
    <t>Equipment &lt; $5K</t>
  </si>
  <si>
    <t>Travel</t>
  </si>
  <si>
    <t>Dues &amp; Memberships</t>
  </si>
  <si>
    <t>Date of</t>
  </si>
  <si>
    <t>Grade/Step</t>
  </si>
  <si>
    <t>Hourly</t>
  </si>
  <si>
    <t xml:space="preserve">Total </t>
  </si>
  <si>
    <t>Hire</t>
  </si>
  <si>
    <t>Title</t>
  </si>
  <si>
    <t>Rate</t>
  </si>
  <si>
    <t>Annual</t>
  </si>
  <si>
    <t>DOH</t>
  </si>
  <si>
    <t>Part Time Temp Wages</t>
  </si>
  <si>
    <t>Office Equipment R &amp; M</t>
  </si>
  <si>
    <t>Staffing - Base Wages excluding Overtime/Shift/Holiday</t>
  </si>
  <si>
    <t>Vacation Buy Back</t>
  </si>
  <si>
    <t>Sick Leave Buy Back</t>
  </si>
  <si>
    <t>TOTAL CAPITAL OUTLAY</t>
  </si>
  <si>
    <t>Hours</t>
  </si>
  <si>
    <t>TOTAL</t>
  </si>
  <si>
    <t>Other Services</t>
  </si>
  <si>
    <t>General Category: General Government</t>
  </si>
  <si>
    <t>UTILITIES</t>
  </si>
  <si>
    <t>Dept # 190</t>
  </si>
  <si>
    <t>5211-192</t>
  </si>
  <si>
    <t>Electricity- Town Hall</t>
  </si>
  <si>
    <t>Note: after reviewing calculations for FY23 STM, it looks like I actually budgeted the rate increase for supply costs for a whole year, so I recommend just rounding up.</t>
  </si>
  <si>
    <t>5211-193</t>
  </si>
  <si>
    <t>Electricity - 15 Center St</t>
  </si>
  <si>
    <t>5211-194</t>
  </si>
  <si>
    <t>Electricity Shea</t>
  </si>
  <si>
    <t>5211-211</t>
  </si>
  <si>
    <t>Electricity - Police Station</t>
  </si>
  <si>
    <t>5211-422</t>
  </si>
  <si>
    <t>Electricity- DPW</t>
  </si>
  <si>
    <t>5211-424</t>
  </si>
  <si>
    <t>Electicity - Traffic lights</t>
  </si>
  <si>
    <t>5211-433</t>
  </si>
  <si>
    <t>Electricity-Landfill</t>
  </si>
  <si>
    <t>5211-652</t>
  </si>
  <si>
    <t>Electricity-Unity Park</t>
  </si>
  <si>
    <t>5213-422</t>
  </si>
  <si>
    <t>Heating Oil-DPW</t>
  </si>
  <si>
    <t>5214-192</t>
  </si>
  <si>
    <t>Natural Gas- Town Hall</t>
  </si>
  <si>
    <t>5214-193</t>
  </si>
  <si>
    <t>Propane-15 Center St</t>
  </si>
  <si>
    <t>5214-197</t>
  </si>
  <si>
    <t>Natural Gas - Shea</t>
  </si>
  <si>
    <t>5214-211</t>
  </si>
  <si>
    <t>Natural Gas - Police Station</t>
  </si>
  <si>
    <t>5214-652</t>
  </si>
  <si>
    <t>Natural Gas-Unity Park</t>
  </si>
  <si>
    <t>5231-192</t>
  </si>
  <si>
    <t>Water-Town Hall</t>
  </si>
  <si>
    <t>5231-193</t>
  </si>
  <si>
    <t>Water - 15 Center St</t>
  </si>
  <si>
    <t>5231-194</t>
  </si>
  <si>
    <t>Water - Shea</t>
  </si>
  <si>
    <t>5231-211</t>
  </si>
  <si>
    <t>Water - Police Station</t>
  </si>
  <si>
    <t>5231-422</t>
  </si>
  <si>
    <t>Water-DPW</t>
  </si>
  <si>
    <t>5231-433</t>
  </si>
  <si>
    <t>Water-Landfill</t>
  </si>
  <si>
    <t>5231-652</t>
  </si>
  <si>
    <t>Water-Unity Park</t>
  </si>
  <si>
    <t>5232-192</t>
  </si>
  <si>
    <t>Sewer-Town Hall</t>
  </si>
  <si>
    <t>5232-193</t>
  </si>
  <si>
    <t>Sewer - 15 Center St</t>
  </si>
  <si>
    <t>5232-194</t>
  </si>
  <si>
    <t>Sewer 15 School St</t>
  </si>
  <si>
    <t>5232-211</t>
  </si>
  <si>
    <t>Sewer - Police Station</t>
  </si>
  <si>
    <t>5232-422</t>
  </si>
  <si>
    <t xml:space="preserve">Sewer-DPW </t>
  </si>
  <si>
    <t>5232-541</t>
  </si>
  <si>
    <t>Sewer - 62 5th St</t>
  </si>
  <si>
    <t>5232-652</t>
  </si>
  <si>
    <t>Sewer-Unity Park</t>
  </si>
  <si>
    <t>TOTAL PUBLIC BLDG UTILITIES</t>
  </si>
  <si>
    <t>P/T Wages</t>
  </si>
  <si>
    <t>Shift Differential</t>
  </si>
  <si>
    <t>Cell Phone Stipends</t>
  </si>
  <si>
    <t>Cleaning Supplies</t>
  </si>
  <si>
    <t>Gasoline</t>
  </si>
  <si>
    <t>Uniforms/Clothing</t>
  </si>
  <si>
    <t>CARES Ineligible Exp</t>
  </si>
  <si>
    <t>D8</t>
  </si>
  <si>
    <t xml:space="preserve"> </t>
  </si>
  <si>
    <t>Rate #2</t>
  </si>
  <si>
    <t>General Category: Public Works</t>
  </si>
  <si>
    <t>DPW COMBINED</t>
  </si>
  <si>
    <t>Dept # 420</t>
  </si>
  <si>
    <t xml:space="preserve">F/T Wages </t>
  </si>
  <si>
    <t xml:space="preserve">Part Time Temp Wages </t>
  </si>
  <si>
    <t>F/T Wages OT</t>
  </si>
  <si>
    <t>Siemens annual monitoring</t>
  </si>
  <si>
    <t>Buildings R &amp; M</t>
  </si>
  <si>
    <t>HVAC R &amp; M</t>
  </si>
  <si>
    <t>Vehicles R &amp; M</t>
  </si>
  <si>
    <t>Computer R &amp; M/Support</t>
  </si>
  <si>
    <t>Other Equipment R &amp; M</t>
  </si>
  <si>
    <t>Rental/Lease Vehicles</t>
  </si>
  <si>
    <t>Uniform Rental/Cleaning</t>
  </si>
  <si>
    <t>DOT Testing</t>
  </si>
  <si>
    <t>Other Professional &amp; Technical</t>
  </si>
  <si>
    <t>Street Line Painting</t>
  </si>
  <si>
    <t>Telephone/Internet/Pagers</t>
  </si>
  <si>
    <t>Building R &amp; M Supplies</t>
  </si>
  <si>
    <t>Electrical</t>
  </si>
  <si>
    <t>Hand Tools</t>
  </si>
  <si>
    <t>Oil &amp; Lubricants</t>
  </si>
  <si>
    <t>Misc. Parts &amp; Accessories</t>
  </si>
  <si>
    <t>Groundskeeping Supplies</t>
  </si>
  <si>
    <t>Diesel</t>
  </si>
  <si>
    <t>Vehicle Parts &amp; Accessories</t>
  </si>
  <si>
    <t>Medical Supplies</t>
  </si>
  <si>
    <t>Public Works Supplies</t>
  </si>
  <si>
    <t>Sidewalk Materials</t>
  </si>
  <si>
    <t>Trees</t>
  </si>
  <si>
    <t>Dues/Memberships</t>
  </si>
  <si>
    <t>Hoister &amp; Other Licenses</t>
  </si>
  <si>
    <t>Flail Mower Lease FY18-22</t>
  </si>
  <si>
    <t>Yrs FY24</t>
  </si>
  <si>
    <t>H10</t>
  </si>
  <si>
    <t>E7</t>
  </si>
  <si>
    <t>F7</t>
  </si>
  <si>
    <t>E6</t>
  </si>
  <si>
    <t>D4</t>
  </si>
  <si>
    <t>C10</t>
  </si>
  <si>
    <t>A10</t>
  </si>
  <si>
    <t>C5</t>
  </si>
  <si>
    <t>C2</t>
  </si>
  <si>
    <t>A3</t>
  </si>
  <si>
    <t>D5</t>
  </si>
  <si>
    <t>C4</t>
  </si>
  <si>
    <t xml:space="preserve">Truck Driver/Laborer                </t>
  </si>
  <si>
    <t>C9</t>
  </si>
  <si>
    <t>Using NAGE</t>
  </si>
  <si>
    <t xml:space="preserve">4 day schedule week </t>
  </si>
  <si>
    <t>A few notes about the DPW Budgets:</t>
  </si>
  <si>
    <t>·        The Department 420 is a summary tab that combines 192 (Public Buildings Maintenance, 422 Streets) and 652 (Parks). Wages for all DPW employees are shown on the bottom of this page, but the individual wages are budgeted in the appropriate tab. One can track the individuals budgeted in each subgroup by following the cell references in the budgeted wages.</t>
  </si>
  <si>
    <t>·        The wages for the part-time Landfill Assistant appear in Department 433, Solid Waste.</t>
  </si>
  <si>
    <t>·        Budgets for departments 192 and 652 each have 3 full-time employees.</t>
  </si>
  <si>
    <t>·        The budget for Department 422 includes wages for 11 full-time employees.</t>
  </si>
  <si>
    <t xml:space="preserve">Potential point of interest. Tom wants 2 more FT staff for tree work at an est cost of $60k/yr each. MD Tree charges $1100/day for tree work. We've been paying for about 15 days/years. </t>
  </si>
  <si>
    <t xml:space="preserve">Is it worth considering spending an extra $45K a year for 8 more full weeks of tree work (totalling 11 weeks) to catch up on the backlog without permanently increasing the budget? </t>
  </si>
  <si>
    <t>Main 440</t>
  </si>
  <si>
    <t>PUBLIC BUILDINGS</t>
  </si>
  <si>
    <t>Dept # 192</t>
  </si>
  <si>
    <t>F/T Wages</t>
  </si>
  <si>
    <t>HVAC Equip R &amp; M</t>
  </si>
  <si>
    <t>TOTAL PUBLIC BUILDINGS</t>
  </si>
  <si>
    <t>contractual agreement</t>
  </si>
  <si>
    <t>CONSTRUCTION/MAINTENANCE</t>
  </si>
  <si>
    <t>Dept # 422</t>
  </si>
  <si>
    <t>Shift Differential incl Beeper Pay 07+</t>
  </si>
  <si>
    <t>Computer R&amp; M/ Support</t>
  </si>
  <si>
    <t>Uniform Rental/Ceaning</t>
  </si>
  <si>
    <t>Electrical Supplies</t>
  </si>
  <si>
    <t>Tools</t>
  </si>
  <si>
    <t>Equip &lt; $5K</t>
  </si>
  <si>
    <t>Flail Mower Lease FY18-22, Vactor 23-26</t>
  </si>
  <si>
    <t>TOTAL CONSTRUCTION/MAINT</t>
  </si>
  <si>
    <t>Flail Mower Lease</t>
  </si>
  <si>
    <t>PARKS</t>
  </si>
  <si>
    <t>Dept # 652</t>
  </si>
  <si>
    <t xml:space="preserve">F/T Wages OT </t>
  </si>
  <si>
    <t>Other Prof/Tech</t>
  </si>
  <si>
    <t>TOTAL PARKS</t>
  </si>
  <si>
    <t>Dept # 423</t>
  </si>
  <si>
    <t>Wages P/T Temp</t>
  </si>
  <si>
    <t>Pager Pay</t>
  </si>
  <si>
    <t>Salt</t>
  </si>
  <si>
    <t>Sand</t>
  </si>
  <si>
    <t>Plow Items</t>
  </si>
  <si>
    <t>TOTAL SNOW &amp; ICE</t>
  </si>
  <si>
    <t>$8K Res Fund Trans</t>
  </si>
  <si>
    <t>MGL Chapter 44, section 31D states that snow and ice budgets may be overspent in an emergency provided that the current budget equals or exceeds the prior year's budget. There is no requirement to increase the budget.</t>
  </si>
  <si>
    <t>Dept # 433</t>
  </si>
  <si>
    <t>CO Review</t>
  </si>
  <si>
    <t>Reallocate</t>
  </si>
  <si>
    <t>Line Items</t>
  </si>
  <si>
    <t>Solid Waste Removal - Republic</t>
  </si>
  <si>
    <t>Recyclables Removal - Republic</t>
  </si>
  <si>
    <t>Bulky Waste Removal</t>
  </si>
  <si>
    <t>Household Hazardous Waste</t>
  </si>
  <si>
    <t>Landfill Monitoring</t>
  </si>
  <si>
    <t>Tipping Fees (split from 5280)</t>
  </si>
  <si>
    <t>Recyclables - Non Republic</t>
  </si>
  <si>
    <t>Recycle Ctr Permit/Inspection</t>
  </si>
  <si>
    <t>Other Expenses</t>
  </si>
  <si>
    <t>TOTAL SOLID WASTE</t>
  </si>
  <si>
    <t>Solid Waste Removal</t>
  </si>
  <si>
    <t>Recyclables Removal</t>
  </si>
  <si>
    <t>Solid Waste Tipping Fees</t>
  </si>
  <si>
    <t>Capital Outlay</t>
  </si>
  <si>
    <t>General Category: Public Works - WPCF</t>
  </si>
  <si>
    <t>Dept # 661-449</t>
  </si>
  <si>
    <t>Other Repairs</t>
  </si>
  <si>
    <t>Collection System</t>
  </si>
  <si>
    <t>Easements</t>
  </si>
  <si>
    <t>Other Equipment</t>
  </si>
  <si>
    <t>Engineering/Architectual</t>
  </si>
  <si>
    <t>Misc. Parts/Accessories</t>
  </si>
  <si>
    <t>TOTAL WPCF HWY SUBSIDIARY</t>
  </si>
  <si>
    <t>A</t>
  </si>
  <si>
    <t>B</t>
  </si>
  <si>
    <t>C</t>
  </si>
  <si>
    <t>D</t>
  </si>
  <si>
    <t>Steps</t>
  </si>
  <si>
    <t>FY24 NAGE and Non-Union Wage Scale = FY23+</t>
  </si>
  <si>
    <t>Grade</t>
  </si>
  <si>
    <t>E</t>
  </si>
  <si>
    <t>F</t>
  </si>
  <si>
    <t>G</t>
  </si>
  <si>
    <t>G+8.5%</t>
  </si>
  <si>
    <t>H</t>
  </si>
  <si>
    <t>I</t>
  </si>
  <si>
    <t>J</t>
  </si>
  <si>
    <t xml:space="preserve">Proration for P/T </t>
  </si>
  <si>
    <t>Annual FT hours</t>
  </si>
  <si>
    <t>F-COA</t>
  </si>
  <si>
    <t>F-DPW</t>
  </si>
  <si>
    <t>F-WPCF</t>
  </si>
  <si>
    <t>G+8.5</t>
  </si>
  <si>
    <t>weeks</t>
  </si>
  <si>
    <t>FY23 NAGE and Non-Union Wage Scale = FY22+</t>
  </si>
  <si>
    <t>FY22 NAGE and Non-Union Wage Scale = FY20+1.5%</t>
  </si>
  <si>
    <t>FY21 NAGE and Non-Union Wage Scale = FY20+1.5%</t>
  </si>
  <si>
    <t>FY20 NAGE and Non-Union Wage Scale = FY19+1% + new step (2.5%)</t>
  </si>
  <si>
    <t>2.5%</t>
  </si>
  <si>
    <t>FY19 TOMEA, UE and Non-Union Wage Scale = FY18+2%</t>
  </si>
  <si>
    <t>Proration for P/T - confirm annual hours for FY18</t>
  </si>
  <si>
    <t>FY18 TOMEA, UE and Non-Union Wage Scale = FY17+1.5%</t>
  </si>
  <si>
    <t>FY17 TOMEA, UE and Non-Union Wage Scale = FY16+1%</t>
  </si>
  <si>
    <t>To get onto town scale, following COLAs would be needed</t>
  </si>
  <si>
    <t>FY16 TOMEA and Non-Union Wage Scale Includes 1% COLA</t>
  </si>
  <si>
    <t>Proration for P/T</t>
  </si>
  <si>
    <t>FY15 TOMEA and Non-Union Wage Scale Includes 1% COLA</t>
  </si>
  <si>
    <t>=FY23</t>
  </si>
  <si>
    <t>=FY22</t>
  </si>
  <si>
    <t>New Steps</t>
  </si>
  <si>
    <t xml:space="preserve">FY22 </t>
  </si>
  <si>
    <t>Includes 1.5 % Adjustment</t>
  </si>
  <si>
    <t xml:space="preserve">Custodian                                 </t>
  </si>
  <si>
    <t xml:space="preserve">Truck Driver/Laborer              </t>
  </si>
  <si>
    <t>C3</t>
  </si>
  <si>
    <t>Summer Help</t>
  </si>
  <si>
    <t>less summer help</t>
  </si>
  <si>
    <t>more employee training</t>
  </si>
  <si>
    <t>price increases</t>
  </si>
  <si>
    <t>price increase $15.68/ton</t>
  </si>
  <si>
    <t>contractual increase</t>
  </si>
  <si>
    <t>price increase Republic Services</t>
  </si>
  <si>
    <t>increase cost of trash/barrel stickers</t>
  </si>
  <si>
    <t>price increase for asphalt</t>
  </si>
  <si>
    <t>spending more in this category</t>
  </si>
  <si>
    <t>FY22/2*78%</t>
  </si>
  <si>
    <t>FY23 budget adj to reflect annual CBA Incr</t>
  </si>
  <si>
    <t>CSO Monitor/Report</t>
  </si>
  <si>
    <t>added amount for 5430</t>
  </si>
  <si>
    <t>expensed moved from 661 and increased for compliance</t>
  </si>
  <si>
    <t>increased 5271 to meet actual FY23 cost</t>
  </si>
  <si>
    <t>move capital outlay money (rarely used) to 5132</t>
  </si>
  <si>
    <t>moved to 5132</t>
  </si>
  <si>
    <t>some from 5800, some corrects allocation between accounts</t>
  </si>
  <si>
    <t>corrects allocation between accounts (5132)</t>
  </si>
  <si>
    <t>E4</t>
  </si>
  <si>
    <t xml:space="preserve">Heavy Equipment Lead Oper          </t>
  </si>
  <si>
    <t>added Heavy Equip Lead op, removed wages for one regular HEO</t>
  </si>
  <si>
    <t>Collection System Lead Operator</t>
  </si>
  <si>
    <t>E5</t>
  </si>
  <si>
    <t>added Collection System Lead op 1040 hrs here, and another 1040 hours in 661-449</t>
  </si>
  <si>
    <t xml:space="preserve">Superintendent                          </t>
  </si>
  <si>
    <t xml:space="preserve">Office Manager                         </t>
  </si>
  <si>
    <t xml:space="preserve">Working Foreman                   </t>
  </si>
  <si>
    <t xml:space="preserve">Shop Foreman                         </t>
  </si>
  <si>
    <t xml:space="preserve">Lead Mechanic                        </t>
  </si>
  <si>
    <t xml:space="preserve">Building Maintenenance        </t>
  </si>
  <si>
    <t xml:space="preserve">Building Maintenenance           </t>
  </si>
  <si>
    <t xml:space="preserve">Grounds Maintenance            </t>
  </si>
  <si>
    <t xml:space="preserve">Grounds Maintenance               </t>
  </si>
  <si>
    <t xml:space="preserve">Grounds Maintenance Lead         </t>
  </si>
  <si>
    <t xml:space="preserve">Landfill Assistant 14 hrs/wk      </t>
  </si>
  <si>
    <t xml:space="preserve">Heavy Equipment Oper              </t>
  </si>
  <si>
    <t xml:space="preserve">Heavy Equipment Oper             </t>
  </si>
  <si>
    <t xml:space="preserve">Truck Driver/Laborer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</si>
</sst>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5" formatCode="[$$-409]#,##0;[Red]\-[$$-409]#,##0"/>
    <numFmt numFmtId="166" formatCode="_(* #,##0.00_);_(* \(#,##0.00\);_(* &quot;-&quot;_);_(@_)"/>
    <numFmt numFmtId="167" formatCode="_(* #,##0_);_(* \(#,##0\);_(* &quot;-&quot;??_);_(@_)"/>
    <numFmt numFmtId="168" formatCode="0.0%"/>
    <numFmt numFmtId="169" formatCode="#,##0;[Red]#,##0"/>
  </numFmts>
  <fonts count="18" x14ac:knownFonts="1">
    <font>
      <sz val="10"/>
      <name val="Times New Roman"/>
    </font>
    <font>
      <sz val="10"/>
      <name val="Times New Roman"/>
      <family val="1"/>
    </font>
    <font>
      <sz val="10"/>
      <name val="Arial"/>
      <family val="2"/>
    </font>
    <font>
      <b/>
      <sz val="10"/>
      <name val="Arial"/>
      <family val="2"/>
    </font>
    <font>
      <sz val="11"/>
      <name val="Arial"/>
      <family val="2"/>
    </font>
    <font>
      <b/>
      <sz val="11"/>
      <name val="Arial"/>
      <family val="2"/>
    </font>
    <font>
      <sz val="10"/>
      <name val="Times New Roman"/>
      <family val="1"/>
    </font>
    <font>
      <b/>
      <sz val="12"/>
      <name val="Arial"/>
      <family val="2"/>
    </font>
    <font>
      <sz val="11"/>
      <name val="Times New Roman"/>
      <family val="1"/>
    </font>
    <font>
      <sz val="12"/>
      <name val="Times New Roman"/>
      <family val="1"/>
    </font>
    <font>
      <u/>
      <sz val="10"/>
      <name val="Arial"/>
      <family val="2"/>
    </font>
    <font>
      <sz val="11"/>
      <name val="Calibri"/>
      <family val="2"/>
    </font>
    <font>
      <u/>
      <sz val="10"/>
      <color theme="10"/>
      <name val="Times New Roman"/>
      <family val="1"/>
    </font>
    <font>
      <sz val="10"/>
      <color theme="1"/>
      <name val="Times New Roman"/>
      <family val="1"/>
    </font>
    <font>
      <sz val="11"/>
      <color rgb="FF1F497D"/>
      <name val="Calibri"/>
      <family val="2"/>
    </font>
    <font>
      <u/>
      <sz val="11"/>
      <color rgb="FF000000"/>
      <name val="Calibri"/>
      <family val="2"/>
    </font>
    <font>
      <sz val="10"/>
      <name val="Arial"/>
      <family val="2"/>
      <scheme val="minor"/>
    </font>
    <font>
      <b/>
      <i/>
      <sz val="1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6" tint="0.59999389629810485"/>
        <bgColor indexed="64"/>
      </patternFill>
    </fill>
    <fill>
      <patternFill patternType="solid">
        <fgColor theme="1"/>
        <bgColor indexed="64"/>
      </patternFill>
    </fill>
    <fill>
      <patternFill patternType="solid">
        <fgColor theme="0" tint="-0.499984740745262"/>
        <bgColor indexed="64"/>
      </patternFill>
    </fill>
  </fills>
  <borders count="44">
    <border>
      <left/>
      <right/>
      <top/>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double">
        <color indexed="64"/>
      </left>
      <right/>
      <top/>
      <bottom/>
      <diagonal/>
    </border>
    <border>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style="thin">
        <color indexed="64"/>
      </right>
      <top style="double">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s>
  <cellStyleXfs count="6">
    <xf numFmtId="165" fontId="0" fillId="0" borderId="0"/>
    <xf numFmtId="43" fontId="1" fillId="0" borderId="0" applyFont="0" applyFill="0" applyBorder="0" applyAlignment="0" applyProtection="0"/>
    <xf numFmtId="165" fontId="12"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xf numFmtId="43" fontId="1" fillId="0" borderId="0" applyFont="0" applyFill="0" applyBorder="0" applyAlignment="0" applyProtection="0"/>
  </cellStyleXfs>
  <cellXfs count="284">
    <xf numFmtId="165" fontId="0" fillId="0" borderId="0" xfId="0"/>
    <xf numFmtId="43" fontId="0" fillId="0" borderId="0" xfId="1" applyFont="1"/>
    <xf numFmtId="41" fontId="0" fillId="0" borderId="0" xfId="0" applyNumberFormat="1"/>
    <xf numFmtId="165" fontId="2" fillId="0" borderId="0" xfId="0" applyFont="1"/>
    <xf numFmtId="165" fontId="3" fillId="0" borderId="3" xfId="0" applyFont="1" applyBorder="1" applyAlignment="1">
      <alignment horizontal="center"/>
    </xf>
    <xf numFmtId="165" fontId="3" fillId="0" borderId="5" xfId="0" applyFont="1" applyBorder="1" applyAlignment="1">
      <alignment horizontal="center"/>
    </xf>
    <xf numFmtId="165" fontId="3" fillId="0" borderId="8" xfId="0" applyFont="1" applyBorder="1" applyAlignment="1">
      <alignment horizontal="center"/>
    </xf>
    <xf numFmtId="165" fontId="2" fillId="0" borderId="10" xfId="0" applyFont="1" applyBorder="1"/>
    <xf numFmtId="43" fontId="2" fillId="0" borderId="11" xfId="1" applyFont="1" applyBorder="1"/>
    <xf numFmtId="41" fontId="2" fillId="0" borderId="11" xfId="0" applyNumberFormat="1" applyFont="1" applyBorder="1"/>
    <xf numFmtId="43" fontId="2" fillId="0" borderId="12" xfId="1" applyFont="1" applyBorder="1"/>
    <xf numFmtId="41" fontId="2" fillId="0" borderId="12" xfId="0" applyNumberFormat="1" applyFont="1" applyBorder="1"/>
    <xf numFmtId="165" fontId="3" fillId="0" borderId="10" xfId="0" applyFont="1" applyBorder="1"/>
    <xf numFmtId="43" fontId="2" fillId="0" borderId="8" xfId="1" applyFont="1" applyBorder="1"/>
    <xf numFmtId="41" fontId="2" fillId="0" borderId="8" xfId="0" applyNumberFormat="1" applyFont="1" applyBorder="1"/>
    <xf numFmtId="165" fontId="3" fillId="0" borderId="14" xfId="0" applyFont="1" applyBorder="1"/>
    <xf numFmtId="43" fontId="2" fillId="0" borderId="15" xfId="1" applyFont="1" applyBorder="1"/>
    <xf numFmtId="41" fontId="2" fillId="0" borderId="15" xfId="0" applyNumberFormat="1" applyFont="1" applyBorder="1"/>
    <xf numFmtId="43" fontId="2" fillId="0" borderId="0" xfId="1" applyFont="1"/>
    <xf numFmtId="43" fontId="2" fillId="0" borderId="0" xfId="1" applyFont="1" applyBorder="1"/>
    <xf numFmtId="41" fontId="2" fillId="0" borderId="0" xfId="0" applyNumberFormat="1" applyFont="1"/>
    <xf numFmtId="165" fontId="2" fillId="0" borderId="7" xfId="0" applyFont="1" applyBorder="1"/>
    <xf numFmtId="43" fontId="2" fillId="0" borderId="16" xfId="1" applyFont="1" applyBorder="1"/>
    <xf numFmtId="41" fontId="2" fillId="0" borderId="16" xfId="0" applyNumberFormat="1" applyFont="1" applyBorder="1"/>
    <xf numFmtId="43" fontId="2" fillId="0" borderId="17" xfId="1" applyFont="1" applyBorder="1"/>
    <xf numFmtId="41" fontId="2" fillId="0" borderId="17" xfId="0" applyNumberFormat="1" applyFont="1" applyBorder="1"/>
    <xf numFmtId="41" fontId="2" fillId="0" borderId="8" xfId="1" applyNumberFormat="1" applyFont="1" applyBorder="1"/>
    <xf numFmtId="43" fontId="2" fillId="0" borderId="18" xfId="1" applyFont="1" applyBorder="1"/>
    <xf numFmtId="41" fontId="2" fillId="0" borderId="18" xfId="0" applyNumberFormat="1" applyFont="1" applyBorder="1"/>
    <xf numFmtId="43" fontId="2" fillId="0" borderId="19" xfId="1" applyFont="1" applyBorder="1"/>
    <xf numFmtId="41" fontId="2" fillId="0" borderId="19" xfId="0" applyNumberFormat="1" applyFont="1" applyBorder="1"/>
    <xf numFmtId="41" fontId="2" fillId="0" borderId="15" xfId="1" applyNumberFormat="1" applyFont="1" applyBorder="1"/>
    <xf numFmtId="41" fontId="2" fillId="0" borderId="11" xfId="1" applyNumberFormat="1" applyFont="1" applyBorder="1"/>
    <xf numFmtId="41" fontId="2" fillId="0" borderId="12" xfId="1" applyNumberFormat="1" applyFont="1" applyBorder="1"/>
    <xf numFmtId="41" fontId="2" fillId="0" borderId="10" xfId="1" applyNumberFormat="1" applyFont="1" applyBorder="1"/>
    <xf numFmtId="165" fontId="4" fillId="0" borderId="0" xfId="0" applyFont="1"/>
    <xf numFmtId="165" fontId="5" fillId="0" borderId="0" xfId="0" applyFont="1"/>
    <xf numFmtId="165" fontId="3" fillId="0" borderId="16" xfId="0" applyFont="1" applyBorder="1" applyAlignment="1">
      <alignment horizontal="center"/>
    </xf>
    <xf numFmtId="14" fontId="2" fillId="0" borderId="0" xfId="0" applyNumberFormat="1" applyFont="1"/>
    <xf numFmtId="43" fontId="2" fillId="0" borderId="0" xfId="1" quotePrefix="1" applyFont="1"/>
    <xf numFmtId="43" fontId="5" fillId="0" borderId="0" xfId="1" applyFont="1"/>
    <xf numFmtId="43" fontId="3" fillId="0" borderId="8" xfId="1" applyFont="1" applyBorder="1" applyAlignment="1">
      <alignment horizontal="center"/>
    </xf>
    <xf numFmtId="165" fontId="2" fillId="0" borderId="11" xfId="0" applyFont="1" applyBorder="1"/>
    <xf numFmtId="165" fontId="3" fillId="0" borderId="11" xfId="0" applyFont="1" applyBorder="1"/>
    <xf numFmtId="165" fontId="3" fillId="0" borderId="7" xfId="0" applyFont="1" applyBorder="1"/>
    <xf numFmtId="16" fontId="2" fillId="0" borderId="0" xfId="0" applyNumberFormat="1" applyFont="1"/>
    <xf numFmtId="43" fontId="0" fillId="0" borderId="0" xfId="0" applyNumberFormat="1"/>
    <xf numFmtId="165" fontId="0" fillId="0" borderId="11" xfId="0" applyBorder="1"/>
    <xf numFmtId="165" fontId="3" fillId="0" borderId="0" xfId="0" applyFont="1"/>
    <xf numFmtId="43" fontId="3" fillId="0" borderId="0" xfId="1" applyFont="1"/>
    <xf numFmtId="165" fontId="6" fillId="0" borderId="0" xfId="0" applyFont="1"/>
    <xf numFmtId="165" fontId="3" fillId="0" borderId="27" xfId="0" applyFont="1" applyBorder="1"/>
    <xf numFmtId="165" fontId="3" fillId="0" borderId="28" xfId="0" applyFont="1" applyBorder="1" applyAlignment="1">
      <alignment horizontal="center"/>
    </xf>
    <xf numFmtId="41" fontId="3" fillId="0" borderId="28" xfId="0" applyNumberFormat="1" applyFont="1" applyBorder="1" applyAlignment="1">
      <alignment horizontal="center"/>
    </xf>
    <xf numFmtId="43" fontId="3" fillId="0" borderId="16" xfId="1" applyFont="1" applyBorder="1" applyAlignment="1">
      <alignment horizontal="center"/>
    </xf>
    <xf numFmtId="165" fontId="3" fillId="0" borderId="20" xfId="0" applyFont="1" applyBorder="1" applyAlignment="1">
      <alignment horizontal="center"/>
    </xf>
    <xf numFmtId="165" fontId="3" fillId="0" borderId="0" xfId="0" applyFont="1" applyAlignment="1">
      <alignment horizontal="center"/>
    </xf>
    <xf numFmtId="41" fontId="3" fillId="0" borderId="16" xfId="0" applyNumberFormat="1" applyFont="1" applyBorder="1" applyAlignment="1">
      <alignment horizontal="center"/>
    </xf>
    <xf numFmtId="41" fontId="3" fillId="0" borderId="20" xfId="0" applyNumberFormat="1" applyFont="1" applyBorder="1" applyAlignment="1">
      <alignment horizontal="center"/>
    </xf>
    <xf numFmtId="41" fontId="2" fillId="0" borderId="18" xfId="1" applyNumberFormat="1" applyFont="1" applyBorder="1"/>
    <xf numFmtId="43" fontId="2" fillId="0" borderId="10" xfId="1" applyFont="1" applyBorder="1"/>
    <xf numFmtId="43" fontId="2" fillId="0" borderId="0" xfId="1" applyFont="1" applyFill="1"/>
    <xf numFmtId="165" fontId="2" fillId="0" borderId="31" xfId="0" applyFont="1" applyBorder="1"/>
    <xf numFmtId="165" fontId="2" fillId="0" borderId="32" xfId="0" applyFont="1" applyBorder="1"/>
    <xf numFmtId="165" fontId="2" fillId="0" borderId="8" xfId="0" applyFont="1" applyBorder="1"/>
    <xf numFmtId="43" fontId="3" fillId="0" borderId="33" xfId="1" applyFont="1" applyBorder="1" applyAlignment="1">
      <alignment horizontal="center"/>
    </xf>
    <xf numFmtId="43" fontId="3" fillId="0" borderId="34" xfId="1" applyFont="1" applyBorder="1" applyAlignment="1">
      <alignment horizontal="center"/>
    </xf>
    <xf numFmtId="43" fontId="6" fillId="0" borderId="0" xfId="1" applyFont="1"/>
    <xf numFmtId="43" fontId="2" fillId="0" borderId="35" xfId="1" applyFont="1" applyBorder="1"/>
    <xf numFmtId="43" fontId="2" fillId="0" borderId="8" xfId="1" applyFont="1" applyFill="1" applyBorder="1"/>
    <xf numFmtId="43" fontId="3" fillId="0" borderId="20" xfId="1" applyFont="1" applyBorder="1" applyAlignment="1">
      <alignment horizontal="center"/>
    </xf>
    <xf numFmtId="43" fontId="3" fillId="0" borderId="28" xfId="1" applyFont="1" applyBorder="1" applyAlignment="1">
      <alignment horizontal="center"/>
    </xf>
    <xf numFmtId="43" fontId="3" fillId="0" borderId="30" xfId="1" applyFont="1" applyBorder="1" applyAlignment="1">
      <alignment horizontal="center"/>
    </xf>
    <xf numFmtId="43" fontId="2" fillId="0" borderId="24" xfId="1" applyFont="1" applyBorder="1"/>
    <xf numFmtId="43" fontId="2" fillId="0" borderId="36" xfId="1" applyFont="1" applyBorder="1"/>
    <xf numFmtId="43" fontId="2" fillId="0" borderId="30" xfId="1" applyFont="1" applyBorder="1"/>
    <xf numFmtId="14" fontId="3" fillId="0" borderId="5" xfId="1" applyNumberFormat="1" applyFont="1" applyBorder="1" applyAlignment="1">
      <alignment horizontal="center"/>
    </xf>
    <xf numFmtId="165" fontId="0" fillId="0" borderId="0" xfId="0" applyAlignment="1">
      <alignment horizontal="center"/>
    </xf>
    <xf numFmtId="43" fontId="4" fillId="0" borderId="0" xfId="1" applyFont="1"/>
    <xf numFmtId="43" fontId="2" fillId="0" borderId="11" xfId="1" applyFont="1" applyFill="1" applyBorder="1"/>
    <xf numFmtId="43" fontId="2" fillId="0" borderId="25" xfId="1" applyFont="1" applyBorder="1"/>
    <xf numFmtId="43" fontId="2" fillId="0" borderId="8" xfId="0" applyNumberFormat="1" applyFont="1" applyBorder="1"/>
    <xf numFmtId="43" fontId="2" fillId="0" borderId="28" xfId="1" applyFont="1" applyBorder="1" applyAlignment="1">
      <alignment horizontal="center"/>
    </xf>
    <xf numFmtId="43" fontId="2" fillId="0" borderId="5" xfId="1" applyFont="1" applyBorder="1" applyAlignment="1">
      <alignment horizontal="center"/>
    </xf>
    <xf numFmtId="165" fontId="2" fillId="0" borderId="5" xfId="0" applyFont="1" applyBorder="1" applyAlignment="1">
      <alignment horizontal="center"/>
    </xf>
    <xf numFmtId="165" fontId="2" fillId="0" borderId="8" xfId="0" applyFont="1" applyBorder="1" applyAlignment="1">
      <alignment horizontal="center"/>
    </xf>
    <xf numFmtId="43" fontId="2" fillId="0" borderId="11" xfId="0" applyNumberFormat="1" applyFont="1" applyBorder="1"/>
    <xf numFmtId="43" fontId="2" fillId="0" borderId="0" xfId="0" applyNumberFormat="1" applyFont="1"/>
    <xf numFmtId="165" fontId="2" fillId="0" borderId="3" xfId="0" applyFont="1" applyBorder="1" applyAlignment="1">
      <alignment horizontal="center"/>
    </xf>
    <xf numFmtId="41" fontId="3" fillId="0" borderId="8" xfId="0" applyNumberFormat="1" applyFont="1" applyBorder="1"/>
    <xf numFmtId="165" fontId="3" fillId="0" borderId="23" xfId="0" applyFont="1" applyBorder="1" applyAlignment="1">
      <alignment horizontal="center"/>
    </xf>
    <xf numFmtId="41" fontId="2" fillId="0" borderId="16" xfId="1" applyNumberFormat="1" applyFont="1" applyBorder="1"/>
    <xf numFmtId="41" fontId="2" fillId="0" borderId="19" xfId="1" applyNumberFormat="1" applyFont="1" applyBorder="1"/>
    <xf numFmtId="14" fontId="3" fillId="0" borderId="16" xfId="0" applyNumberFormat="1" applyFont="1" applyBorder="1" applyAlignment="1">
      <alignment horizontal="center"/>
    </xf>
    <xf numFmtId="41" fontId="3" fillId="0" borderId="0" xfId="0" applyNumberFormat="1" applyFont="1"/>
    <xf numFmtId="41" fontId="7" fillId="0" borderId="0" xfId="0" applyNumberFormat="1" applyFont="1"/>
    <xf numFmtId="165" fontId="3" fillId="0" borderId="34" xfId="0" applyFont="1" applyBorder="1"/>
    <xf numFmtId="165" fontId="2" fillId="0" borderId="23" xfId="0" applyFont="1" applyBorder="1"/>
    <xf numFmtId="165" fontId="2" fillId="0" borderId="0" xfId="0" applyFont="1" applyAlignment="1">
      <alignment horizontal="center"/>
    </xf>
    <xf numFmtId="43" fontId="1" fillId="0" borderId="0" xfId="1" applyFont="1"/>
    <xf numFmtId="43" fontId="2" fillId="0" borderId="18" xfId="1" applyFont="1" applyFill="1" applyBorder="1"/>
    <xf numFmtId="165" fontId="1" fillId="0" borderId="0" xfId="0" applyFont="1"/>
    <xf numFmtId="165" fontId="8" fillId="0" borderId="0" xfId="0" applyFont="1"/>
    <xf numFmtId="41" fontId="2" fillId="0" borderId="11" xfId="1" applyNumberFormat="1" applyFont="1" applyFill="1" applyBorder="1"/>
    <xf numFmtId="41" fontId="2" fillId="0" borderId="8" xfId="1" applyNumberFormat="1" applyFont="1" applyFill="1" applyBorder="1"/>
    <xf numFmtId="43" fontId="2" fillId="0" borderId="37" xfId="1" applyFont="1" applyBorder="1"/>
    <xf numFmtId="43" fontId="3" fillId="0" borderId="3" xfId="1" applyFont="1" applyBorder="1" applyAlignment="1">
      <alignment horizontal="center"/>
    </xf>
    <xf numFmtId="43" fontId="0" fillId="0" borderId="39" xfId="1" applyFont="1" applyBorder="1"/>
    <xf numFmtId="41" fontId="0" fillId="0" borderId="39" xfId="0" applyNumberFormat="1" applyBorder="1"/>
    <xf numFmtId="165" fontId="0" fillId="2" borderId="0" xfId="0" applyFill="1"/>
    <xf numFmtId="43" fontId="13" fillId="2" borderId="39" xfId="1" applyFont="1" applyFill="1" applyBorder="1"/>
    <xf numFmtId="165" fontId="3" fillId="0" borderId="33" xfId="0" applyFont="1" applyBorder="1" applyAlignment="1">
      <alignment horizontal="center"/>
    </xf>
    <xf numFmtId="165" fontId="3" fillId="0" borderId="34" xfId="0" applyFont="1" applyBorder="1" applyAlignment="1">
      <alignment horizontal="center"/>
    </xf>
    <xf numFmtId="41" fontId="3" fillId="0" borderId="33" xfId="0" applyNumberFormat="1" applyFont="1" applyBorder="1" applyAlignment="1">
      <alignment horizontal="center"/>
    </xf>
    <xf numFmtId="41" fontId="3" fillId="0" borderId="34" xfId="0" applyNumberFormat="1" applyFont="1" applyBorder="1" applyAlignment="1">
      <alignment horizontal="center"/>
    </xf>
    <xf numFmtId="43" fontId="3" fillId="0" borderId="5" xfId="1" applyFont="1" applyBorder="1" applyAlignment="1">
      <alignment horizontal="center"/>
    </xf>
    <xf numFmtId="43" fontId="2" fillId="0" borderId="10" xfId="1" applyFont="1" applyFill="1" applyBorder="1"/>
    <xf numFmtId="43" fontId="2" fillId="0" borderId="8" xfId="1" applyFont="1" applyBorder="1" applyAlignment="1">
      <alignment horizontal="center"/>
    </xf>
    <xf numFmtId="43" fontId="2" fillId="0" borderId="31" xfId="1" applyFont="1" applyBorder="1" applyAlignment="1">
      <alignment horizontal="center"/>
    </xf>
    <xf numFmtId="43" fontId="2" fillId="0" borderId="12" xfId="1" applyFont="1" applyFill="1" applyBorder="1"/>
    <xf numFmtId="43" fontId="2" fillId="0" borderId="19" xfId="1" applyFont="1" applyFill="1" applyBorder="1"/>
    <xf numFmtId="43" fontId="2" fillId="0" borderId="16" xfId="1" applyFont="1" applyFill="1" applyBorder="1"/>
    <xf numFmtId="43" fontId="2" fillId="0" borderId="15" xfId="1" applyFont="1" applyFill="1" applyBorder="1"/>
    <xf numFmtId="43" fontId="2" fillId="0" borderId="17" xfId="1" applyFont="1" applyFill="1" applyBorder="1"/>
    <xf numFmtId="43" fontId="2" fillId="0" borderId="0" xfId="1" applyFont="1" applyFill="1" applyBorder="1"/>
    <xf numFmtId="43" fontId="0" fillId="0" borderId="0" xfId="1" applyFont="1" applyFill="1"/>
    <xf numFmtId="14" fontId="2" fillId="0" borderId="32" xfId="1" applyNumberFormat="1" applyFont="1" applyBorder="1" applyAlignment="1">
      <alignment horizontal="center"/>
    </xf>
    <xf numFmtId="165" fontId="1" fillId="0" borderId="0" xfId="0" applyFont="1" applyAlignment="1">
      <alignment horizontal="center"/>
    </xf>
    <xf numFmtId="41" fontId="3" fillId="0" borderId="3" xfId="0" applyNumberFormat="1" applyFont="1" applyBorder="1" applyAlignment="1">
      <alignment horizontal="center"/>
    </xf>
    <xf numFmtId="165" fontId="1" fillId="0" borderId="0" xfId="0" applyFont="1" applyAlignment="1">
      <alignment horizontal="left"/>
    </xf>
    <xf numFmtId="41" fontId="0" fillId="0" borderId="39" xfId="1" applyNumberFormat="1" applyFont="1" applyBorder="1"/>
    <xf numFmtId="165" fontId="1" fillId="3" borderId="0" xfId="0" applyFont="1" applyFill="1"/>
    <xf numFmtId="165" fontId="12" fillId="0" borderId="0" xfId="2" applyAlignment="1" applyProtection="1"/>
    <xf numFmtId="165" fontId="9" fillId="0" borderId="0" xfId="0" applyFont="1"/>
    <xf numFmtId="43" fontId="9" fillId="0" borderId="0" xfId="1" applyFont="1"/>
    <xf numFmtId="4" fontId="2" fillId="0" borderId="0" xfId="0" applyNumberFormat="1" applyFont="1"/>
    <xf numFmtId="41" fontId="2" fillId="0" borderId="0" xfId="1" quotePrefix="1" applyNumberFormat="1" applyFont="1"/>
    <xf numFmtId="43" fontId="3" fillId="0" borderId="0" xfId="1" applyFont="1" applyFill="1"/>
    <xf numFmtId="43" fontId="2" fillId="0" borderId="24" xfId="1" applyFont="1" applyFill="1" applyBorder="1"/>
    <xf numFmtId="43" fontId="2" fillId="0" borderId="30" xfId="1" applyFont="1" applyFill="1" applyBorder="1"/>
    <xf numFmtId="43" fontId="2" fillId="0" borderId="36" xfId="1" applyFont="1" applyFill="1" applyBorder="1"/>
    <xf numFmtId="165" fontId="0" fillId="3" borderId="0" xfId="0" applyFill="1"/>
    <xf numFmtId="165" fontId="2" fillId="0" borderId="0" xfId="1" applyNumberFormat="1" applyFont="1"/>
    <xf numFmtId="165" fontId="1" fillId="0" borderId="0" xfId="0" quotePrefix="1" applyFont="1"/>
    <xf numFmtId="43" fontId="1" fillId="0" borderId="0" xfId="1" applyFont="1" applyFill="1"/>
    <xf numFmtId="165" fontId="3" fillId="5" borderId="2" xfId="0" applyFont="1" applyFill="1" applyBorder="1"/>
    <xf numFmtId="43" fontId="3" fillId="5" borderId="28" xfId="1" applyFont="1" applyFill="1" applyBorder="1" applyAlignment="1">
      <alignment horizontal="center"/>
    </xf>
    <xf numFmtId="43" fontId="3" fillId="5" borderId="3" xfId="1" applyFont="1" applyFill="1" applyBorder="1" applyAlignment="1">
      <alignment horizontal="center"/>
    </xf>
    <xf numFmtId="165" fontId="3" fillId="5" borderId="3" xfId="0" applyFont="1" applyFill="1" applyBorder="1" applyAlignment="1">
      <alignment horizontal="center"/>
    </xf>
    <xf numFmtId="43" fontId="3" fillId="5" borderId="33" xfId="1" applyFont="1" applyFill="1" applyBorder="1" applyAlignment="1">
      <alignment horizontal="center"/>
    </xf>
    <xf numFmtId="165" fontId="3" fillId="5" borderId="33" xfId="0" applyFont="1" applyFill="1" applyBorder="1" applyAlignment="1">
      <alignment horizontal="center"/>
    </xf>
    <xf numFmtId="165" fontId="3" fillId="5" borderId="28" xfId="0" applyFont="1" applyFill="1" applyBorder="1" applyAlignment="1">
      <alignment horizontal="center"/>
    </xf>
    <xf numFmtId="165" fontId="3" fillId="5" borderId="27" xfId="0" applyFont="1" applyFill="1" applyBorder="1"/>
    <xf numFmtId="43" fontId="3" fillId="5" borderId="5" xfId="1" applyFont="1" applyFill="1" applyBorder="1" applyAlignment="1">
      <alignment horizontal="center"/>
    </xf>
    <xf numFmtId="165" fontId="3" fillId="5" borderId="5" xfId="0" applyFont="1" applyFill="1" applyBorder="1" applyAlignment="1">
      <alignment horizontal="center"/>
    </xf>
    <xf numFmtId="165" fontId="3" fillId="5" borderId="27" xfId="0" applyFont="1" applyFill="1" applyBorder="1" applyAlignment="1">
      <alignment horizontal="center"/>
    </xf>
    <xf numFmtId="14" fontId="3" fillId="5" borderId="27" xfId="1" applyNumberFormat="1" applyFont="1" applyFill="1" applyBorder="1" applyAlignment="1">
      <alignment horizontal="center"/>
    </xf>
    <xf numFmtId="165" fontId="3" fillId="5" borderId="21" xfId="0" applyFont="1" applyFill="1" applyBorder="1" applyAlignment="1">
      <alignment horizontal="center"/>
    </xf>
    <xf numFmtId="43" fontId="2" fillId="5" borderId="8" xfId="1" applyFont="1" applyFill="1" applyBorder="1"/>
    <xf numFmtId="41" fontId="2" fillId="5" borderId="8" xfId="0" applyNumberFormat="1" applyFont="1" applyFill="1" applyBorder="1"/>
    <xf numFmtId="41" fontId="2" fillId="5" borderId="10" xfId="0" applyNumberFormat="1" applyFont="1" applyFill="1" applyBorder="1"/>
    <xf numFmtId="41" fontId="2" fillId="5" borderId="24" xfId="0" applyNumberFormat="1" applyFont="1" applyFill="1" applyBorder="1"/>
    <xf numFmtId="165" fontId="2" fillId="5" borderId="10" xfId="0" applyFont="1" applyFill="1" applyBorder="1"/>
    <xf numFmtId="43" fontId="2" fillId="5" borderId="12" xfId="1" applyFont="1" applyFill="1" applyBorder="1"/>
    <xf numFmtId="41" fontId="2" fillId="5" borderId="11" xfId="0" applyNumberFormat="1" applyFont="1" applyFill="1" applyBorder="1"/>
    <xf numFmtId="43" fontId="2" fillId="5" borderId="11" xfId="1" applyFont="1" applyFill="1" applyBorder="1"/>
    <xf numFmtId="10" fontId="2" fillId="5" borderId="30" xfId="1" applyNumberFormat="1" applyFont="1" applyFill="1" applyBorder="1"/>
    <xf numFmtId="43" fontId="2" fillId="5" borderId="18" xfId="1" applyFont="1" applyFill="1" applyBorder="1"/>
    <xf numFmtId="165" fontId="2" fillId="5" borderId="7" xfId="0" applyFont="1" applyFill="1" applyBorder="1"/>
    <xf numFmtId="43" fontId="2" fillId="5" borderId="16" xfId="1" applyFont="1" applyFill="1" applyBorder="1"/>
    <xf numFmtId="41" fontId="2" fillId="5" borderId="7" xfId="0" applyNumberFormat="1" applyFont="1" applyFill="1" applyBorder="1"/>
    <xf numFmtId="43" fontId="2" fillId="5" borderId="10" xfId="1" applyFont="1" applyFill="1" applyBorder="1"/>
    <xf numFmtId="165" fontId="3" fillId="5" borderId="7" xfId="0" applyFont="1" applyFill="1" applyBorder="1" applyAlignment="1">
      <alignment horizontal="center"/>
    </xf>
    <xf numFmtId="43" fontId="3" fillId="5" borderId="8" xfId="1" applyFont="1" applyFill="1" applyBorder="1" applyAlignment="1">
      <alignment horizontal="center"/>
    </xf>
    <xf numFmtId="43" fontId="2" fillId="5" borderId="8" xfId="1" applyFont="1" applyFill="1" applyBorder="1" applyAlignment="1">
      <alignment horizontal="center"/>
    </xf>
    <xf numFmtId="165" fontId="2" fillId="5" borderId="8" xfId="0" applyFont="1" applyFill="1" applyBorder="1" applyAlignment="1">
      <alignment horizontal="center"/>
    </xf>
    <xf numFmtId="43" fontId="2" fillId="5" borderId="19" xfId="1" applyFont="1" applyFill="1" applyBorder="1"/>
    <xf numFmtId="41" fontId="2" fillId="5" borderId="8" xfId="1" applyNumberFormat="1" applyFont="1" applyFill="1" applyBorder="1"/>
    <xf numFmtId="41" fontId="2" fillId="5" borderId="11" xfId="1" applyNumberFormat="1" applyFont="1" applyFill="1" applyBorder="1"/>
    <xf numFmtId="41" fontId="2" fillId="5" borderId="30" xfId="0" applyNumberFormat="1" applyFont="1" applyFill="1" applyBorder="1"/>
    <xf numFmtId="165" fontId="2" fillId="5" borderId="11" xfId="0" applyFont="1" applyFill="1" applyBorder="1"/>
    <xf numFmtId="41" fontId="2" fillId="5" borderId="0" xfId="0" applyNumberFormat="1" applyFont="1" applyFill="1"/>
    <xf numFmtId="165" fontId="3" fillId="5" borderId="40" xfId="0" applyFont="1" applyFill="1" applyBorder="1" applyAlignment="1">
      <alignment horizontal="center"/>
    </xf>
    <xf numFmtId="165" fontId="3" fillId="5" borderId="22" xfId="0" applyFont="1" applyFill="1" applyBorder="1" applyAlignment="1">
      <alignment horizontal="center"/>
    </xf>
    <xf numFmtId="165" fontId="2" fillId="6" borderId="0" xfId="0" applyFont="1" applyFill="1"/>
    <xf numFmtId="165" fontId="2" fillId="4" borderId="0" xfId="0" applyFont="1" applyFill="1"/>
    <xf numFmtId="165" fontId="2" fillId="8" borderId="0" xfId="0" applyFont="1" applyFill="1"/>
    <xf numFmtId="165" fontId="3" fillId="0" borderId="33" xfId="0" applyFont="1" applyBorder="1"/>
    <xf numFmtId="41" fontId="2" fillId="5" borderId="8" xfId="1" applyNumberFormat="1" applyFont="1" applyFill="1" applyBorder="1" applyAlignment="1">
      <alignment horizontal="center"/>
    </xf>
    <xf numFmtId="41" fontId="0" fillId="9" borderId="39" xfId="1" applyNumberFormat="1" applyFont="1" applyFill="1" applyBorder="1"/>
    <xf numFmtId="43" fontId="1" fillId="0" borderId="39" xfId="1" applyFont="1" applyFill="1" applyBorder="1"/>
    <xf numFmtId="166" fontId="2" fillId="0" borderId="15" xfId="1" applyNumberFormat="1" applyFont="1" applyBorder="1"/>
    <xf numFmtId="10" fontId="2" fillId="0" borderId="0" xfId="0" applyNumberFormat="1" applyFont="1"/>
    <xf numFmtId="165" fontId="3" fillId="5" borderId="2" xfId="0" applyFont="1" applyFill="1" applyBorder="1" applyAlignment="1">
      <alignment horizontal="center"/>
    </xf>
    <xf numFmtId="165" fontId="3" fillId="5" borderId="26" xfId="0" applyFont="1" applyFill="1" applyBorder="1" applyAlignment="1">
      <alignment horizontal="center"/>
    </xf>
    <xf numFmtId="41" fontId="2" fillId="5" borderId="35" xfId="0" applyNumberFormat="1" applyFont="1" applyFill="1" applyBorder="1"/>
    <xf numFmtId="167" fontId="0" fillId="0" borderId="39" xfId="1" applyNumberFormat="1" applyFont="1" applyBorder="1"/>
    <xf numFmtId="43" fontId="1" fillId="9" borderId="39" xfId="1" applyFont="1" applyFill="1" applyBorder="1"/>
    <xf numFmtId="43" fontId="0" fillId="0" borderId="39" xfId="1" applyFont="1" applyFill="1" applyBorder="1"/>
    <xf numFmtId="167" fontId="0" fillId="0" borderId="39" xfId="1" applyNumberFormat="1" applyFont="1" applyFill="1" applyBorder="1"/>
    <xf numFmtId="43" fontId="2" fillId="0" borderId="37" xfId="1" applyFont="1" applyFill="1" applyBorder="1"/>
    <xf numFmtId="43" fontId="2" fillId="0" borderId="34" xfId="1" applyFont="1" applyBorder="1"/>
    <xf numFmtId="43" fontId="2" fillId="0" borderId="42" xfId="1" applyFont="1" applyBorder="1"/>
    <xf numFmtId="43" fontId="2" fillId="0" borderId="43" xfId="1" applyFont="1" applyFill="1" applyBorder="1"/>
    <xf numFmtId="43" fontId="2" fillId="0" borderId="42" xfId="1" applyFont="1" applyFill="1" applyBorder="1"/>
    <xf numFmtId="43" fontId="2" fillId="0" borderId="43" xfId="1" applyFont="1" applyBorder="1"/>
    <xf numFmtId="41" fontId="2" fillId="3" borderId="11" xfId="0" applyNumberFormat="1" applyFont="1" applyFill="1" applyBorder="1"/>
    <xf numFmtId="167" fontId="0" fillId="0" borderId="0" xfId="1" applyNumberFormat="1" applyFont="1"/>
    <xf numFmtId="165" fontId="2" fillId="3" borderId="11" xfId="0" applyFont="1" applyFill="1" applyBorder="1"/>
    <xf numFmtId="167" fontId="2" fillId="0" borderId="0" xfId="1" applyNumberFormat="1" applyFont="1"/>
    <xf numFmtId="10" fontId="2" fillId="0" borderId="0" xfId="1" applyNumberFormat="1" applyFont="1" applyFill="1" applyBorder="1"/>
    <xf numFmtId="9" fontId="0" fillId="0" borderId="0" xfId="3" applyFont="1"/>
    <xf numFmtId="43" fontId="2" fillId="3" borderId="11" xfId="1" applyFont="1" applyFill="1" applyBorder="1"/>
    <xf numFmtId="43" fontId="2" fillId="3" borderId="16" xfId="1" applyFont="1" applyFill="1" applyBorder="1"/>
    <xf numFmtId="43" fontId="2" fillId="3" borderId="24" xfId="1" applyFont="1" applyFill="1" applyBorder="1"/>
    <xf numFmtId="165" fontId="2" fillId="3" borderId="10" xfId="0" applyFont="1" applyFill="1" applyBorder="1"/>
    <xf numFmtId="0" fontId="2" fillId="0" borderId="0" xfId="1" applyNumberFormat="1" applyFont="1"/>
    <xf numFmtId="0" fontId="12" fillId="0" borderId="0" xfId="2" applyNumberFormat="1" applyAlignment="1" applyProtection="1"/>
    <xf numFmtId="0" fontId="4" fillId="0" borderId="0" xfId="0" applyNumberFormat="1" applyFont="1"/>
    <xf numFmtId="0" fontId="2" fillId="0" borderId="0" xfId="0" applyNumberFormat="1" applyFont="1"/>
    <xf numFmtId="0" fontId="3" fillId="0" borderId="1" xfId="0" applyNumberFormat="1" applyFont="1" applyBorder="1"/>
    <xf numFmtId="0" fontId="3" fillId="0" borderId="29" xfId="0" applyNumberFormat="1" applyFont="1" applyBorder="1"/>
    <xf numFmtId="0" fontId="3" fillId="0" borderId="4" xfId="0" applyNumberFormat="1" applyFont="1" applyBorder="1"/>
    <xf numFmtId="0" fontId="3" fillId="0" borderId="6" xfId="0" applyNumberFormat="1" applyFont="1" applyBorder="1" applyAlignment="1">
      <alignment horizontal="center"/>
    </xf>
    <xf numFmtId="0" fontId="2" fillId="0" borderId="9" xfId="0" applyNumberFormat="1" applyFont="1" applyBorder="1"/>
    <xf numFmtId="0" fontId="2" fillId="0" borderId="13" xfId="0" applyNumberFormat="1" applyFont="1" applyBorder="1"/>
    <xf numFmtId="0" fontId="2" fillId="0" borderId="31" xfId="0" applyNumberFormat="1" applyFont="1" applyBorder="1" applyAlignment="1">
      <alignment horizontal="center"/>
    </xf>
    <xf numFmtId="0" fontId="2" fillId="0" borderId="32" xfId="0" applyNumberFormat="1" applyFont="1" applyBorder="1" applyAlignment="1">
      <alignment horizontal="center"/>
    </xf>
    <xf numFmtId="0" fontId="0" fillId="0" borderId="0" xfId="0" applyNumberFormat="1"/>
    <xf numFmtId="0" fontId="2" fillId="0" borderId="0" xfId="0" applyNumberFormat="1" applyFont="1" applyAlignment="1">
      <alignment horizontal="left" indent="5"/>
    </xf>
    <xf numFmtId="0" fontId="8" fillId="0" borderId="0" xfId="0" applyNumberFormat="1" applyFont="1"/>
    <xf numFmtId="0" fontId="3" fillId="5" borderId="1" xfId="0" applyNumberFormat="1" applyFont="1" applyFill="1" applyBorder="1"/>
    <xf numFmtId="0" fontId="3" fillId="5" borderId="4" xfId="0" applyNumberFormat="1" applyFont="1" applyFill="1" applyBorder="1"/>
    <xf numFmtId="0" fontId="3" fillId="5" borderId="6" xfId="0" applyNumberFormat="1" applyFont="1" applyFill="1" applyBorder="1" applyAlignment="1">
      <alignment horizontal="center"/>
    </xf>
    <xf numFmtId="0" fontId="2" fillId="5" borderId="9" xfId="0" applyNumberFormat="1" applyFont="1" applyFill="1" applyBorder="1"/>
    <xf numFmtId="0" fontId="2" fillId="0" borderId="6" xfId="0" applyNumberFormat="1" applyFont="1" applyBorder="1"/>
    <xf numFmtId="0" fontId="2" fillId="5" borderId="6" xfId="0" applyNumberFormat="1" applyFont="1" applyFill="1" applyBorder="1"/>
    <xf numFmtId="0" fontId="2" fillId="0" borderId="11" xfId="0" applyNumberFormat="1" applyFont="1" applyBorder="1"/>
    <xf numFmtId="0" fontId="2" fillId="0" borderId="24" xfId="0" applyNumberFormat="1" applyFont="1" applyBorder="1"/>
    <xf numFmtId="0" fontId="2" fillId="5" borderId="11" xfId="0" applyNumberFormat="1" applyFont="1" applyFill="1" applyBorder="1"/>
    <xf numFmtId="0" fontId="2" fillId="3" borderId="9" xfId="0" applyNumberFormat="1" applyFont="1" applyFill="1" applyBorder="1"/>
    <xf numFmtId="0" fontId="15" fillId="0" borderId="0" xfId="0" applyNumberFormat="1" applyFont="1"/>
    <xf numFmtId="0" fontId="11" fillId="0" borderId="0" xfId="0" applyNumberFormat="1" applyFont="1"/>
    <xf numFmtId="0" fontId="14" fillId="0" borderId="0" xfId="0" applyNumberFormat="1" applyFont="1"/>
    <xf numFmtId="0" fontId="0" fillId="0" borderId="0" xfId="0" applyNumberFormat="1" applyAlignment="1">
      <alignment horizontal="center"/>
    </xf>
    <xf numFmtId="0" fontId="1" fillId="0" borderId="0" xfId="0" applyNumberFormat="1" applyFont="1" applyAlignment="1">
      <alignment horizontal="center"/>
    </xf>
    <xf numFmtId="41" fontId="0" fillId="0" borderId="11" xfId="0" applyNumberFormat="1" applyBorder="1"/>
    <xf numFmtId="16" fontId="10" fillId="0" borderId="0" xfId="0" applyNumberFormat="1" applyFont="1"/>
    <xf numFmtId="165" fontId="0" fillId="3" borderId="0" xfId="0" quotePrefix="1" applyFill="1"/>
    <xf numFmtId="44" fontId="0" fillId="0" borderId="0" xfId="1" applyNumberFormat="1" applyFont="1"/>
    <xf numFmtId="165" fontId="1" fillId="3" borderId="0" xfId="0" applyFont="1" applyFill="1" applyAlignment="1">
      <alignment horizontal="left"/>
    </xf>
    <xf numFmtId="14" fontId="16" fillId="0" borderId="0" xfId="0" applyNumberFormat="1" applyFont="1"/>
    <xf numFmtId="14" fontId="16" fillId="0" borderId="0" xfId="1" applyNumberFormat="1" applyFont="1"/>
    <xf numFmtId="169" fontId="2" fillId="0" borderId="0" xfId="0" applyNumberFormat="1" applyFont="1" applyAlignment="1">
      <alignment horizontal="left"/>
    </xf>
    <xf numFmtId="169" fontId="0" fillId="0" borderId="0" xfId="1" applyNumberFormat="1" applyFont="1" applyAlignment="1">
      <alignment horizontal="left"/>
    </xf>
    <xf numFmtId="169" fontId="2" fillId="0" borderId="0" xfId="1" applyNumberFormat="1" applyFont="1" applyAlignment="1">
      <alignment horizontal="left"/>
    </xf>
    <xf numFmtId="9" fontId="0" fillId="7" borderId="0" xfId="3" applyFont="1" applyFill="1"/>
    <xf numFmtId="168" fontId="0" fillId="7" borderId="0" xfId="3" applyNumberFormat="1" applyFont="1" applyFill="1"/>
    <xf numFmtId="167" fontId="0" fillId="0" borderId="0" xfId="1" applyNumberFormat="1" applyFont="1" applyFill="1"/>
    <xf numFmtId="41" fontId="16" fillId="0" borderId="11" xfId="0" applyNumberFormat="1" applyFont="1" applyBorder="1"/>
    <xf numFmtId="43" fontId="16" fillId="0" borderId="11" xfId="1" applyFont="1" applyBorder="1"/>
    <xf numFmtId="165" fontId="16" fillId="0" borderId="11" xfId="0" applyFont="1" applyBorder="1"/>
    <xf numFmtId="43" fontId="16" fillId="0" borderId="18" xfId="1" applyFont="1" applyBorder="1"/>
    <xf numFmtId="165" fontId="3" fillId="5" borderId="41" xfId="0" applyFont="1" applyFill="1" applyBorder="1" applyAlignment="1">
      <alignment horizontal="center"/>
    </xf>
    <xf numFmtId="41" fontId="2" fillId="5" borderId="25" xfId="0" applyNumberFormat="1" applyFont="1" applyFill="1" applyBorder="1"/>
    <xf numFmtId="41" fontId="3" fillId="5" borderId="25" xfId="0" applyNumberFormat="1" applyFont="1" applyFill="1" applyBorder="1"/>
    <xf numFmtId="165" fontId="3" fillId="5" borderId="0" xfId="0" applyFont="1" applyFill="1" applyAlignment="1">
      <alignment horizontal="center"/>
    </xf>
    <xf numFmtId="14" fontId="16" fillId="3" borderId="0" xfId="0" applyNumberFormat="1" applyFont="1" applyFill="1"/>
    <xf numFmtId="14" fontId="3" fillId="0" borderId="20" xfId="0" applyNumberFormat="1" applyFont="1" applyBorder="1" applyAlignment="1">
      <alignment horizontal="center"/>
    </xf>
    <xf numFmtId="43" fontId="2" fillId="3" borderId="8" xfId="1" applyFont="1" applyFill="1" applyBorder="1"/>
    <xf numFmtId="43" fontId="0" fillId="10" borderId="0" xfId="1" applyFont="1" applyFill="1"/>
    <xf numFmtId="41" fontId="2" fillId="3" borderId="8" xfId="0" applyNumberFormat="1" applyFont="1" applyFill="1" applyBorder="1"/>
    <xf numFmtId="41" fontId="3" fillId="3" borderId="0" xfId="0" applyNumberFormat="1" applyFont="1" applyFill="1"/>
    <xf numFmtId="165" fontId="17" fillId="0" borderId="0" xfId="0" applyFont="1"/>
    <xf numFmtId="165" fontId="1" fillId="2" borderId="0" xfId="0" applyFont="1" applyFill="1" applyAlignment="1">
      <alignment horizontal="center"/>
    </xf>
    <xf numFmtId="165" fontId="1" fillId="2" borderId="39" xfId="0" applyFont="1" applyFill="1" applyBorder="1"/>
    <xf numFmtId="14" fontId="16" fillId="0" borderId="0" xfId="1" applyNumberFormat="1" applyFont="1" applyFill="1"/>
    <xf numFmtId="41" fontId="2" fillId="3" borderId="12" xfId="0" applyNumberFormat="1" applyFont="1" applyFill="1" applyBorder="1"/>
    <xf numFmtId="167" fontId="3" fillId="0" borderId="0" xfId="1" applyNumberFormat="1" applyFont="1"/>
    <xf numFmtId="10" fontId="3" fillId="0" borderId="0" xfId="3" applyNumberFormat="1" applyFont="1"/>
    <xf numFmtId="165" fontId="3" fillId="3" borderId="2" xfId="0" applyFont="1" applyFill="1" applyBorder="1"/>
    <xf numFmtId="43" fontId="2" fillId="3" borderId="12" xfId="1" applyFont="1" applyFill="1" applyBorder="1"/>
    <xf numFmtId="43" fontId="2" fillId="3" borderId="38" xfId="1" applyFont="1" applyFill="1" applyBorder="1"/>
    <xf numFmtId="16" fontId="2" fillId="0" borderId="0" xfId="1" quotePrefix="1" applyNumberFormat="1" applyFont="1" applyFill="1"/>
  </cellXfs>
  <cellStyles count="6">
    <cellStyle name="Comma" xfId="1" builtinId="3"/>
    <cellStyle name="Comma 2" xfId="5" xr:uid="{00000000-0005-0000-0000-000001000000}"/>
    <cellStyle name="Hyperlink" xfId="2" builtinId="8"/>
    <cellStyle name="Normal" xfId="0" builtinId="0"/>
    <cellStyle name="Normal 2 2" xfId="4" xr:uid="{00000000-0005-0000-0000-000004000000}"/>
    <cellStyle name="Percent" xfId="3" builtinId="5"/>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pageSetUpPr fitToPage="1"/>
  </sheetPr>
  <dimension ref="A1:Y75"/>
  <sheetViews>
    <sheetView zoomScaleNormal="100" workbookViewId="0">
      <pane ySplit="7" topLeftCell="A15" activePane="bottomLeft" state="frozen"/>
      <selection activeCell="P15" sqref="P15"/>
      <selection pane="bottomLeft" activeCell="P15" sqref="P15"/>
    </sheetView>
  </sheetViews>
  <sheetFormatPr defaultRowHeight="13.2" x14ac:dyDescent="0.25"/>
  <cols>
    <col min="1" max="1" width="11.77734375" style="228" customWidth="1"/>
    <col min="2" max="2" width="39.109375" customWidth="1"/>
    <col min="3" max="3" width="14.44140625" style="1" hidden="1" customWidth="1"/>
    <col min="4" max="8" width="14.44140625" style="67" hidden="1" customWidth="1"/>
    <col min="9" max="12" width="14.44140625" style="50" hidden="1" customWidth="1"/>
    <col min="13" max="15" width="14.44140625" style="50" customWidth="1"/>
    <col min="16" max="19" width="14.44140625" customWidth="1"/>
    <col min="20" max="20" width="10.6640625" customWidth="1"/>
    <col min="22" max="22" width="13.33203125" bestFit="1" customWidth="1"/>
  </cols>
  <sheetData>
    <row r="1" spans="1:25" x14ac:dyDescent="0.25">
      <c r="A1" s="217" t="s">
        <v>40</v>
      </c>
      <c r="B1" s="132" t="s">
        <v>2</v>
      </c>
      <c r="D1" s="99"/>
      <c r="E1" s="99"/>
      <c r="F1" s="99"/>
      <c r="G1" s="99"/>
      <c r="H1" s="99"/>
      <c r="I1" s="99"/>
      <c r="J1" s="99"/>
      <c r="K1" s="99"/>
      <c r="L1" s="99"/>
      <c r="M1" s="99"/>
      <c r="N1" s="99"/>
      <c r="O1" s="99"/>
      <c r="Q1" s="1"/>
      <c r="R1" s="1"/>
    </row>
    <row r="2" spans="1:25" ht="13.8" x14ac:dyDescent="0.25">
      <c r="A2" s="218" t="s">
        <v>65</v>
      </c>
      <c r="B2" s="35"/>
      <c r="D2" s="99"/>
      <c r="E2" s="78"/>
      <c r="F2" s="99"/>
      <c r="G2" s="99"/>
      <c r="H2" s="99"/>
      <c r="I2" s="78" t="s">
        <v>22</v>
      </c>
      <c r="J2" s="78"/>
      <c r="K2" s="78"/>
      <c r="L2" s="78"/>
      <c r="M2" s="78"/>
      <c r="N2" s="78"/>
      <c r="O2" s="78"/>
      <c r="P2" s="40" t="s">
        <v>66</v>
      </c>
      <c r="Q2" s="1"/>
      <c r="R2" s="1"/>
      <c r="S2" s="36" t="s">
        <v>67</v>
      </c>
    </row>
    <row r="3" spans="1:25" ht="13.8" thickBot="1" x14ac:dyDescent="0.3">
      <c r="A3" s="219"/>
      <c r="B3" s="3"/>
      <c r="C3" s="18"/>
      <c r="D3" s="18"/>
      <c r="E3" s="18"/>
      <c r="F3" s="18"/>
      <c r="G3" s="18"/>
      <c r="H3" s="18"/>
      <c r="I3" s="18"/>
      <c r="J3" s="18"/>
      <c r="K3" s="18"/>
      <c r="L3" s="18"/>
      <c r="M3" s="18"/>
      <c r="N3" s="18"/>
      <c r="O3" s="18"/>
      <c r="P3" s="3"/>
      <c r="Q3" s="18"/>
      <c r="R3" s="18"/>
      <c r="S3" s="3"/>
    </row>
    <row r="4" spans="1:25" ht="13.8" thickTop="1" x14ac:dyDescent="0.25">
      <c r="A4" s="220"/>
      <c r="B4" s="187"/>
      <c r="C4" s="71" t="s">
        <v>13</v>
      </c>
      <c r="D4" s="106" t="s">
        <v>13</v>
      </c>
      <c r="E4" s="106" t="s">
        <v>13</v>
      </c>
      <c r="F4" s="106" t="s">
        <v>13</v>
      </c>
      <c r="G4" s="106" t="s">
        <v>13</v>
      </c>
      <c r="H4" s="65" t="s">
        <v>13</v>
      </c>
      <c r="I4" s="111" t="s">
        <v>13</v>
      </c>
      <c r="J4" s="111" t="s">
        <v>13</v>
      </c>
      <c r="K4" s="111" t="s">
        <v>12</v>
      </c>
      <c r="L4" s="111" t="s">
        <v>13</v>
      </c>
      <c r="M4" s="111" t="s">
        <v>12</v>
      </c>
      <c r="N4" s="111" t="s">
        <v>13</v>
      </c>
      <c r="O4" s="111" t="s">
        <v>12</v>
      </c>
      <c r="P4" s="65" t="s">
        <v>23</v>
      </c>
      <c r="Q4" s="52" t="s">
        <v>18</v>
      </c>
      <c r="R4" s="52" t="s">
        <v>18</v>
      </c>
      <c r="S4" s="4" t="s">
        <v>18</v>
      </c>
      <c r="U4" s="55"/>
      <c r="V4" s="55"/>
      <c r="W4" s="55"/>
      <c r="X4" s="56"/>
      <c r="Y4" s="56"/>
    </row>
    <row r="5" spans="1:25" x14ac:dyDescent="0.25">
      <c r="A5" s="221"/>
      <c r="B5" s="96"/>
      <c r="C5" s="70"/>
      <c r="D5" s="54"/>
      <c r="E5" s="66"/>
      <c r="F5" s="54"/>
      <c r="G5" s="54"/>
      <c r="H5" s="66"/>
      <c r="I5" s="112"/>
      <c r="J5" s="112"/>
      <c r="K5" s="112"/>
      <c r="L5" s="112"/>
      <c r="M5" s="112"/>
      <c r="N5" s="112"/>
      <c r="O5" s="112"/>
      <c r="P5" s="66" t="s">
        <v>24</v>
      </c>
      <c r="Q5" s="55" t="s">
        <v>25</v>
      </c>
      <c r="R5" s="55" t="s">
        <v>26</v>
      </c>
      <c r="S5" s="93" t="s">
        <v>27</v>
      </c>
      <c r="U5" s="101"/>
      <c r="W5" s="101"/>
    </row>
    <row r="6" spans="1:25" x14ac:dyDescent="0.25">
      <c r="A6" s="221"/>
      <c r="B6" s="96"/>
      <c r="C6" s="70"/>
      <c r="D6" s="70"/>
      <c r="E6" s="70"/>
      <c r="F6" s="70"/>
      <c r="G6" s="70"/>
      <c r="H6" s="70"/>
      <c r="I6" s="55"/>
      <c r="J6" s="55"/>
      <c r="K6" s="55"/>
      <c r="L6" s="55"/>
      <c r="M6" s="55"/>
      <c r="N6" s="55"/>
      <c r="O6" s="55"/>
      <c r="P6" s="70"/>
      <c r="Q6" s="55" t="s">
        <v>28</v>
      </c>
      <c r="R6" s="55" t="s">
        <v>19</v>
      </c>
      <c r="S6" s="37" t="s">
        <v>29</v>
      </c>
    </row>
    <row r="7" spans="1:25" ht="13.8" thickBot="1" x14ac:dyDescent="0.3">
      <c r="A7" s="222" t="s">
        <v>30</v>
      </c>
      <c r="B7" s="51"/>
      <c r="C7" s="115" t="s">
        <v>4</v>
      </c>
      <c r="D7" s="115" t="s">
        <v>5</v>
      </c>
      <c r="E7" s="5" t="s">
        <v>6</v>
      </c>
      <c r="F7" s="5" t="s">
        <v>15</v>
      </c>
      <c r="G7" s="5" t="s">
        <v>16</v>
      </c>
      <c r="H7" s="5" t="s">
        <v>7</v>
      </c>
      <c r="I7" s="5" t="s">
        <v>8</v>
      </c>
      <c r="J7" s="5" t="s">
        <v>17</v>
      </c>
      <c r="K7" s="5" t="s">
        <v>9</v>
      </c>
      <c r="L7" s="5" t="s">
        <v>9</v>
      </c>
      <c r="M7" s="5" t="s">
        <v>10</v>
      </c>
      <c r="N7" s="5" t="s">
        <v>10</v>
      </c>
      <c r="O7" s="5" t="s">
        <v>11</v>
      </c>
      <c r="P7" s="76">
        <v>44926</v>
      </c>
      <c r="Q7" s="5" t="s">
        <v>31</v>
      </c>
      <c r="R7" s="5"/>
      <c r="S7" s="5" t="s">
        <v>19</v>
      </c>
    </row>
    <row r="8" spans="1:25" ht="13.8" thickTop="1" x14ac:dyDescent="0.25">
      <c r="A8" s="235"/>
      <c r="B8" s="97"/>
      <c r="C8" s="75"/>
      <c r="D8" s="13"/>
      <c r="E8" s="13"/>
      <c r="F8" s="13"/>
      <c r="G8" s="13"/>
      <c r="H8" s="13"/>
      <c r="I8" s="14"/>
      <c r="J8" s="14"/>
      <c r="K8" s="14"/>
      <c r="L8" s="14"/>
      <c r="M8" s="14"/>
      <c r="N8" s="14"/>
      <c r="O8" s="14"/>
      <c r="P8" s="13"/>
      <c r="Q8" s="14"/>
      <c r="R8" s="14"/>
      <c r="S8" s="14"/>
    </row>
    <row r="9" spans="1:25" x14ac:dyDescent="0.25">
      <c r="A9" s="224"/>
      <c r="B9" s="42"/>
      <c r="C9" s="73"/>
      <c r="D9" s="8"/>
      <c r="E9" s="8"/>
      <c r="F9" s="8"/>
      <c r="G9" s="8"/>
      <c r="H9" s="8"/>
      <c r="I9" s="8"/>
      <c r="J9" s="8"/>
      <c r="K9" s="9"/>
      <c r="L9" s="9"/>
      <c r="M9" s="9"/>
      <c r="N9" s="9"/>
      <c r="O9" s="9"/>
      <c r="P9" s="8"/>
      <c r="Q9" s="9"/>
      <c r="R9" s="9"/>
      <c r="S9" s="9"/>
      <c r="T9" t="s">
        <v>304</v>
      </c>
    </row>
    <row r="10" spans="1:25" x14ac:dyDescent="0.25">
      <c r="A10" s="224" t="s">
        <v>68</v>
      </c>
      <c r="B10" s="42" t="s">
        <v>69</v>
      </c>
      <c r="C10" s="73">
        <v>17860.46</v>
      </c>
      <c r="D10" s="8">
        <v>18618.21</v>
      </c>
      <c r="E10" s="8">
        <v>18675.71</v>
      </c>
      <c r="F10" s="8">
        <v>20061.82</v>
      </c>
      <c r="G10" s="8">
        <v>18262.55</v>
      </c>
      <c r="H10" s="8">
        <v>18055.12</v>
      </c>
      <c r="I10" s="79">
        <v>18198.669999999998</v>
      </c>
      <c r="J10" s="79">
        <v>17101.080000000002</v>
      </c>
      <c r="K10" s="9">
        <v>19000</v>
      </c>
      <c r="L10" s="79">
        <v>18095.849999999999</v>
      </c>
      <c r="M10" s="260">
        <v>20600</v>
      </c>
      <c r="N10" s="79">
        <v>19999.349999999999</v>
      </c>
      <c r="O10" s="259">
        <f>6100+21424</f>
        <v>27524</v>
      </c>
      <c r="P10" s="260">
        <v>10581.07</v>
      </c>
      <c r="Q10" s="259">
        <v>28000</v>
      </c>
      <c r="R10" s="259"/>
      <c r="S10" s="246"/>
      <c r="T10" s="207">
        <f>ROUND(((((+N10/2)*1.78))+(+N10/2)),0)</f>
        <v>27799</v>
      </c>
      <c r="U10" s="101" t="s">
        <v>70</v>
      </c>
      <c r="V10" s="207"/>
    </row>
    <row r="11" spans="1:25" x14ac:dyDescent="0.25">
      <c r="A11" s="224" t="s">
        <v>71</v>
      </c>
      <c r="B11" s="42" t="s">
        <v>72</v>
      </c>
      <c r="C11" s="73">
        <v>418.21</v>
      </c>
      <c r="D11" s="8">
        <v>455.51</v>
      </c>
      <c r="E11" s="8">
        <v>520.94000000000005</v>
      </c>
      <c r="F11" s="8">
        <v>468.41</v>
      </c>
      <c r="G11" s="8">
        <v>598.34</v>
      </c>
      <c r="H11" s="8">
        <v>430.31</v>
      </c>
      <c r="I11" s="79">
        <v>493.42</v>
      </c>
      <c r="J11" s="79">
        <v>545.65</v>
      </c>
      <c r="K11" s="9">
        <v>600</v>
      </c>
      <c r="L11" s="79">
        <v>528.63</v>
      </c>
      <c r="M11" s="260">
        <v>650</v>
      </c>
      <c r="N11" s="79">
        <v>474.49</v>
      </c>
      <c r="O11" s="259">
        <f>600+676</f>
        <v>1276</v>
      </c>
      <c r="P11" s="260">
        <v>219.74</v>
      </c>
      <c r="Q11" s="259">
        <v>1300</v>
      </c>
      <c r="R11" s="259"/>
      <c r="S11" s="246"/>
      <c r="T11" s="207">
        <f t="shared" ref="T11:T17" si="0">ROUND(((((+N11/2)*1.78))+(+N11/2)),0)</f>
        <v>660</v>
      </c>
      <c r="V11" s="207"/>
    </row>
    <row r="12" spans="1:25" hidden="1" x14ac:dyDescent="0.25">
      <c r="A12" s="224" t="s">
        <v>73</v>
      </c>
      <c r="B12" s="42" t="s">
        <v>74</v>
      </c>
      <c r="C12" s="73"/>
      <c r="D12" s="8"/>
      <c r="E12" s="8"/>
      <c r="F12" s="8">
        <v>2761.26</v>
      </c>
      <c r="G12" s="8"/>
      <c r="H12" s="8"/>
      <c r="I12" s="79"/>
      <c r="J12" s="79"/>
      <c r="K12" s="9"/>
      <c r="L12" s="79"/>
      <c r="M12" s="260"/>
      <c r="N12" s="79"/>
      <c r="O12" s="259"/>
      <c r="P12" s="260"/>
      <c r="Q12" s="259"/>
      <c r="R12" s="259"/>
      <c r="S12" s="246"/>
      <c r="T12" s="207">
        <f t="shared" si="0"/>
        <v>0</v>
      </c>
      <c r="V12" s="207"/>
    </row>
    <row r="13" spans="1:25" x14ac:dyDescent="0.25">
      <c r="A13" s="224" t="s">
        <v>75</v>
      </c>
      <c r="B13" s="42" t="s">
        <v>76</v>
      </c>
      <c r="C13" s="73">
        <v>30066.65</v>
      </c>
      <c r="D13" s="8">
        <v>32695.66</v>
      </c>
      <c r="E13" s="8">
        <v>29432.98</v>
      </c>
      <c r="F13" s="8">
        <v>33080.11</v>
      </c>
      <c r="G13" s="8">
        <v>30230.91</v>
      </c>
      <c r="H13" s="8">
        <v>31793.09</v>
      </c>
      <c r="I13" s="79">
        <v>26843.79</v>
      </c>
      <c r="J13" s="79">
        <v>18095.02</v>
      </c>
      <c r="K13" s="9">
        <v>20000</v>
      </c>
      <c r="L13" s="79">
        <v>17693.810000000001</v>
      </c>
      <c r="M13" s="260">
        <v>21000</v>
      </c>
      <c r="N13" s="79">
        <v>17952.27</v>
      </c>
      <c r="O13" s="259">
        <f>3800+21840</f>
        <v>25640</v>
      </c>
      <c r="P13" s="260">
        <v>4982.99</v>
      </c>
      <c r="Q13" s="259">
        <v>26000</v>
      </c>
      <c r="R13" s="259"/>
      <c r="S13" s="9"/>
      <c r="T13" s="207">
        <f t="shared" si="0"/>
        <v>24954</v>
      </c>
      <c r="V13" s="207"/>
    </row>
    <row r="14" spans="1:25" x14ac:dyDescent="0.25">
      <c r="A14" s="224" t="s">
        <v>77</v>
      </c>
      <c r="B14" s="42" t="s">
        <v>78</v>
      </c>
      <c r="C14" s="73">
        <v>6158.88</v>
      </c>
      <c r="D14" s="8">
        <v>6302.72</v>
      </c>
      <c r="E14" s="8">
        <v>6068.61</v>
      </c>
      <c r="F14" s="8">
        <v>5878.49</v>
      </c>
      <c r="G14" s="8">
        <v>5082.01</v>
      </c>
      <c r="H14" s="8">
        <v>5663.22</v>
      </c>
      <c r="I14" s="79">
        <v>5872</v>
      </c>
      <c r="J14" s="79">
        <v>4665.2700000000004</v>
      </c>
      <c r="K14" s="9">
        <v>13000</v>
      </c>
      <c r="L14" s="79">
        <v>17898.29</v>
      </c>
      <c r="M14" s="260">
        <v>25446</v>
      </c>
      <c r="N14" s="79">
        <v>22178.81</v>
      </c>
      <c r="O14" s="259">
        <f>5600+26464</f>
        <v>32064</v>
      </c>
      <c r="P14" s="260">
        <v>8162.07</v>
      </c>
      <c r="Q14" s="259">
        <v>33000</v>
      </c>
      <c r="R14" s="259"/>
      <c r="S14" s="246"/>
      <c r="T14" s="207">
        <f t="shared" si="0"/>
        <v>30829</v>
      </c>
      <c r="V14" s="207"/>
    </row>
    <row r="15" spans="1:25" x14ac:dyDescent="0.25">
      <c r="A15" s="224" t="s">
        <v>79</v>
      </c>
      <c r="B15" s="42" t="s">
        <v>80</v>
      </c>
      <c r="C15" s="73">
        <v>3735.02</v>
      </c>
      <c r="D15" s="8">
        <v>3841.24</v>
      </c>
      <c r="E15" s="8">
        <v>3791.57</v>
      </c>
      <c r="F15" s="8">
        <v>3702.44</v>
      </c>
      <c r="G15" s="8">
        <v>3833.66</v>
      </c>
      <c r="H15" s="8">
        <v>4323.21</v>
      </c>
      <c r="I15" s="79">
        <v>4665</v>
      </c>
      <c r="J15" s="79">
        <v>4668.2</v>
      </c>
      <c r="K15" s="9">
        <v>5500</v>
      </c>
      <c r="L15" s="79">
        <v>4009.88</v>
      </c>
      <c r="M15" s="260">
        <v>4500</v>
      </c>
      <c r="N15" s="79">
        <v>4278.75</v>
      </c>
      <c r="O15" s="259">
        <f>1000+4680</f>
        <v>5680</v>
      </c>
      <c r="P15" s="260">
        <v>1981.62</v>
      </c>
      <c r="Q15" s="259">
        <v>5700</v>
      </c>
      <c r="R15" s="259"/>
      <c r="S15" s="246"/>
      <c r="T15" s="207">
        <f t="shared" si="0"/>
        <v>5947</v>
      </c>
      <c r="V15" s="207"/>
    </row>
    <row r="16" spans="1:25" x14ac:dyDescent="0.25">
      <c r="A16" s="224" t="s">
        <v>81</v>
      </c>
      <c r="B16" s="42" t="s">
        <v>82</v>
      </c>
      <c r="C16" s="73">
        <v>2394.5</v>
      </c>
      <c r="D16" s="8">
        <v>2061.5700000000002</v>
      </c>
      <c r="E16" s="8">
        <v>1032.4000000000001</v>
      </c>
      <c r="F16" s="8">
        <v>749.36</v>
      </c>
      <c r="G16" s="8">
        <v>826.63</v>
      </c>
      <c r="H16" s="8">
        <v>911.65</v>
      </c>
      <c r="I16" s="79">
        <v>853.27</v>
      </c>
      <c r="J16" s="79">
        <v>555.37</v>
      </c>
      <c r="K16" s="9">
        <v>1000</v>
      </c>
      <c r="L16" s="79">
        <v>522.53</v>
      </c>
      <c r="M16" s="260">
        <v>700</v>
      </c>
      <c r="N16" s="79">
        <v>710.19</v>
      </c>
      <c r="O16" s="259">
        <f>300+728</f>
        <v>1028</v>
      </c>
      <c r="P16" s="260">
        <v>149.13</v>
      </c>
      <c r="Q16" s="259">
        <v>1100</v>
      </c>
      <c r="R16" s="259"/>
      <c r="S16" s="246"/>
      <c r="T16" s="207">
        <f t="shared" si="0"/>
        <v>987</v>
      </c>
      <c r="V16" s="207"/>
    </row>
    <row r="17" spans="1:24" x14ac:dyDescent="0.25">
      <c r="A17" s="224" t="s">
        <v>83</v>
      </c>
      <c r="B17" s="42" t="s">
        <v>84</v>
      </c>
      <c r="C17" s="73">
        <v>2549.33</v>
      </c>
      <c r="D17" s="8">
        <v>2900.08</v>
      </c>
      <c r="E17" s="8">
        <v>2577.86</v>
      </c>
      <c r="F17" s="8">
        <v>2757.85</v>
      </c>
      <c r="G17" s="8">
        <v>2333.6799999999998</v>
      </c>
      <c r="H17" s="8">
        <v>2573.5</v>
      </c>
      <c r="I17" s="79">
        <v>2602.7600000000002</v>
      </c>
      <c r="J17" s="79">
        <v>2599.19</v>
      </c>
      <c r="K17" s="9">
        <v>3000</v>
      </c>
      <c r="L17" s="79">
        <v>2726.24</v>
      </c>
      <c r="M17" s="260">
        <v>3000</v>
      </c>
      <c r="N17" s="79">
        <v>2632.47</v>
      </c>
      <c r="O17" s="259">
        <f>600+3120</f>
        <v>3720</v>
      </c>
      <c r="P17" s="260">
        <v>1218.3</v>
      </c>
      <c r="Q17" s="259">
        <v>3800</v>
      </c>
      <c r="R17" s="259"/>
      <c r="S17" s="246"/>
      <c r="T17" s="207">
        <f t="shared" si="0"/>
        <v>3659</v>
      </c>
      <c r="V17" s="207"/>
    </row>
    <row r="18" spans="1:24" x14ac:dyDescent="0.25">
      <c r="A18" s="224" t="s">
        <v>85</v>
      </c>
      <c r="B18" s="42" t="s">
        <v>86</v>
      </c>
      <c r="C18" s="73">
        <v>14145.02</v>
      </c>
      <c r="D18" s="8">
        <v>21632.63</v>
      </c>
      <c r="E18" s="8">
        <v>18865.080000000002</v>
      </c>
      <c r="F18" s="8">
        <v>10448.209999999999</v>
      </c>
      <c r="G18" s="8">
        <v>11643.03</v>
      </c>
      <c r="H18" s="8">
        <v>10034.4</v>
      </c>
      <c r="I18" s="79">
        <v>14685.23</v>
      </c>
      <c r="J18" s="79">
        <v>12186.51</v>
      </c>
      <c r="K18" s="9">
        <v>20000</v>
      </c>
      <c r="L18" s="79">
        <v>8075.7</v>
      </c>
      <c r="M18" s="260">
        <v>13000</v>
      </c>
      <c r="N18" s="79">
        <v>7351.75</v>
      </c>
      <c r="O18" s="259">
        <v>13000</v>
      </c>
      <c r="P18" s="260">
        <v>2666.23</v>
      </c>
      <c r="Q18" s="259">
        <v>34000</v>
      </c>
      <c r="R18" s="259"/>
      <c r="S18" s="246"/>
      <c r="T18" s="207"/>
      <c r="V18" s="207"/>
    </row>
    <row r="19" spans="1:24" x14ac:dyDescent="0.25">
      <c r="A19" s="224" t="s">
        <v>87</v>
      </c>
      <c r="B19" s="7" t="s">
        <v>88</v>
      </c>
      <c r="C19" s="8">
        <v>8111.96</v>
      </c>
      <c r="D19" s="8">
        <v>10821.64</v>
      </c>
      <c r="E19" s="8">
        <v>9566.7000000000007</v>
      </c>
      <c r="F19" s="8">
        <v>6423.13</v>
      </c>
      <c r="G19" s="8">
        <v>8360.0499999999993</v>
      </c>
      <c r="H19" s="8">
        <v>9797.56</v>
      </c>
      <c r="I19" s="79">
        <v>10832.95</v>
      </c>
      <c r="J19" s="79">
        <v>8770.16</v>
      </c>
      <c r="K19" s="9">
        <v>10500</v>
      </c>
      <c r="L19" s="79">
        <v>7889.97</v>
      </c>
      <c r="M19" s="260">
        <v>10000</v>
      </c>
      <c r="N19" s="79">
        <v>7051.43</v>
      </c>
      <c r="O19" s="259">
        <v>10000</v>
      </c>
      <c r="P19" s="260">
        <v>1028.5899999999999</v>
      </c>
      <c r="Q19" s="259">
        <v>11200</v>
      </c>
      <c r="R19" s="259"/>
      <c r="S19" s="246"/>
      <c r="T19" s="207"/>
      <c r="V19" s="207"/>
    </row>
    <row r="20" spans="1:24" hidden="1" x14ac:dyDescent="0.25">
      <c r="A20" s="224" t="s">
        <v>89</v>
      </c>
      <c r="B20" s="7" t="s">
        <v>90</v>
      </c>
      <c r="C20" s="8"/>
      <c r="D20" s="8">
        <v>0</v>
      </c>
      <c r="E20" s="8"/>
      <c r="F20" s="8"/>
      <c r="G20" s="8"/>
      <c r="H20" s="8"/>
      <c r="I20" s="79"/>
      <c r="J20" s="79"/>
      <c r="K20" s="9"/>
      <c r="L20" s="79"/>
      <c r="M20" s="260"/>
      <c r="N20" s="79"/>
      <c r="O20" s="259"/>
      <c r="P20" s="260"/>
      <c r="Q20" s="259"/>
      <c r="R20" s="259"/>
      <c r="S20" s="246"/>
      <c r="T20" s="207"/>
      <c r="V20" s="207"/>
    </row>
    <row r="21" spans="1:24" hidden="1" x14ac:dyDescent="0.25">
      <c r="A21" s="224" t="s">
        <v>91</v>
      </c>
      <c r="B21" s="7" t="s">
        <v>92</v>
      </c>
      <c r="C21" s="8"/>
      <c r="D21" s="8"/>
      <c r="E21" s="8"/>
      <c r="F21" s="8">
        <v>813.56</v>
      </c>
      <c r="G21" s="8"/>
      <c r="H21" s="8"/>
      <c r="I21" s="79"/>
      <c r="J21" s="79"/>
      <c r="K21" s="9"/>
      <c r="L21" s="79"/>
      <c r="M21" s="260"/>
      <c r="N21" s="79"/>
      <c r="O21" s="259"/>
      <c r="P21" s="260"/>
      <c r="Q21" s="259"/>
      <c r="R21" s="259"/>
      <c r="S21" s="246"/>
      <c r="T21" s="207"/>
      <c r="V21" s="207"/>
    </row>
    <row r="22" spans="1:24" x14ac:dyDescent="0.25">
      <c r="A22" s="224" t="s">
        <v>93</v>
      </c>
      <c r="B22" s="7" t="s">
        <v>94</v>
      </c>
      <c r="C22" s="8">
        <v>619.48</v>
      </c>
      <c r="D22" s="8">
        <v>657.3</v>
      </c>
      <c r="E22" s="8">
        <v>614.69000000000005</v>
      </c>
      <c r="F22" s="8">
        <v>557.64</v>
      </c>
      <c r="G22" s="8">
        <v>554.92999999999995</v>
      </c>
      <c r="H22" s="8">
        <v>585.23</v>
      </c>
      <c r="I22" s="79">
        <v>681.26</v>
      </c>
      <c r="J22" s="79">
        <v>628.23</v>
      </c>
      <c r="K22" s="9">
        <v>775</v>
      </c>
      <c r="L22" s="79">
        <v>605.89</v>
      </c>
      <c r="M22" s="260">
        <v>700</v>
      </c>
      <c r="N22" s="79">
        <v>659.12</v>
      </c>
      <c r="O22" s="259">
        <v>700</v>
      </c>
      <c r="P22" s="260">
        <v>248.06</v>
      </c>
      <c r="Q22" s="259">
        <v>784</v>
      </c>
      <c r="R22" s="259"/>
      <c r="S22" s="246"/>
      <c r="T22" s="207"/>
      <c r="V22" s="207"/>
    </row>
    <row r="23" spans="1:24" x14ac:dyDescent="0.25">
      <c r="A23" s="224" t="s">
        <v>95</v>
      </c>
      <c r="B23" s="7" t="s">
        <v>96</v>
      </c>
      <c r="C23" s="8">
        <v>1206.5999999999999</v>
      </c>
      <c r="D23" s="8">
        <v>1314.27</v>
      </c>
      <c r="E23" s="8">
        <v>1180.54</v>
      </c>
      <c r="F23" s="8">
        <v>783.58</v>
      </c>
      <c r="G23" s="8">
        <v>945.8</v>
      </c>
      <c r="H23" s="8">
        <v>1108.06</v>
      </c>
      <c r="I23" s="79">
        <v>1312.23</v>
      </c>
      <c r="J23" s="79">
        <v>1523.23</v>
      </c>
      <c r="K23" s="9">
        <v>1750</v>
      </c>
      <c r="L23" s="79">
        <v>1414.28</v>
      </c>
      <c r="M23" s="260">
        <v>1650</v>
      </c>
      <c r="N23" s="79">
        <v>1332.59</v>
      </c>
      <c r="O23" s="259">
        <v>1650</v>
      </c>
      <c r="P23" s="260">
        <v>274.5</v>
      </c>
      <c r="Q23" s="259">
        <v>1848</v>
      </c>
      <c r="R23" s="259"/>
      <c r="S23" s="246"/>
      <c r="T23" s="207"/>
      <c r="V23" s="207"/>
    </row>
    <row r="24" spans="1:24" x14ac:dyDescent="0.25">
      <c r="A24" s="224" t="s">
        <v>97</v>
      </c>
      <c r="B24" s="7" t="s">
        <v>98</v>
      </c>
      <c r="C24" s="8">
        <v>347.6</v>
      </c>
      <c r="D24" s="8">
        <v>178.4</v>
      </c>
      <c r="E24" s="8">
        <v>211.9</v>
      </c>
      <c r="F24" s="8">
        <v>430.4</v>
      </c>
      <c r="G24" s="8">
        <v>240.8</v>
      </c>
      <c r="H24" s="8">
        <v>293.60000000000002</v>
      </c>
      <c r="I24" s="79">
        <v>233.4</v>
      </c>
      <c r="J24" s="79">
        <v>185.25</v>
      </c>
      <c r="K24" s="9">
        <v>500</v>
      </c>
      <c r="L24" s="79">
        <v>344</v>
      </c>
      <c r="M24" s="260">
        <v>600</v>
      </c>
      <c r="N24" s="79">
        <v>200.1</v>
      </c>
      <c r="O24" s="259">
        <v>600</v>
      </c>
      <c r="P24" s="260">
        <v>167.6</v>
      </c>
      <c r="Q24" s="259">
        <v>600</v>
      </c>
      <c r="R24" s="259"/>
      <c r="S24" s="246"/>
      <c r="T24" s="207"/>
      <c r="V24" s="207"/>
    </row>
    <row r="25" spans="1:24" x14ac:dyDescent="0.25">
      <c r="A25" s="224" t="s">
        <v>99</v>
      </c>
      <c r="B25" s="7" t="s">
        <v>100</v>
      </c>
      <c r="C25" s="27">
        <v>103</v>
      </c>
      <c r="D25" s="8">
        <v>98</v>
      </c>
      <c r="E25" s="8">
        <v>140</v>
      </c>
      <c r="F25" s="8">
        <v>105</v>
      </c>
      <c r="G25" s="8">
        <v>70</v>
      </c>
      <c r="H25" s="8">
        <v>95</v>
      </c>
      <c r="I25" s="79">
        <v>104</v>
      </c>
      <c r="J25" s="79">
        <v>111</v>
      </c>
      <c r="K25" s="9">
        <v>150</v>
      </c>
      <c r="L25" s="79">
        <v>57.5</v>
      </c>
      <c r="M25" s="260">
        <v>150</v>
      </c>
      <c r="N25" s="79">
        <v>57.5</v>
      </c>
      <c r="O25" s="259">
        <v>150</v>
      </c>
      <c r="P25" s="260">
        <v>58</v>
      </c>
      <c r="Q25" s="259">
        <v>150</v>
      </c>
      <c r="R25" s="259"/>
      <c r="S25" s="246"/>
      <c r="T25" s="207"/>
      <c r="V25" s="207"/>
    </row>
    <row r="26" spans="1:24" hidden="1" x14ac:dyDescent="0.25">
      <c r="A26" s="224" t="s">
        <v>101</v>
      </c>
      <c r="B26" s="7" t="s">
        <v>102</v>
      </c>
      <c r="C26" s="27"/>
      <c r="D26" s="8"/>
      <c r="E26" s="8"/>
      <c r="F26" s="8">
        <v>358</v>
      </c>
      <c r="G26" s="8"/>
      <c r="H26" s="8"/>
      <c r="I26" s="79"/>
      <c r="J26" s="79"/>
      <c r="K26" s="9"/>
      <c r="L26" s="100"/>
      <c r="M26" s="262"/>
      <c r="N26" s="100"/>
      <c r="O26" s="261"/>
      <c r="P26" s="262"/>
      <c r="Q26" s="261"/>
      <c r="R26" s="261"/>
      <c r="S26" s="47"/>
      <c r="T26" s="207"/>
      <c r="V26" s="207"/>
    </row>
    <row r="27" spans="1:24" x14ac:dyDescent="0.25">
      <c r="A27" s="224" t="s">
        <v>103</v>
      </c>
      <c r="B27" s="7" t="s">
        <v>104</v>
      </c>
      <c r="C27" s="27">
        <v>113.6</v>
      </c>
      <c r="D27" s="8">
        <v>129</v>
      </c>
      <c r="E27" s="8">
        <v>138.1</v>
      </c>
      <c r="F27" s="8">
        <v>181.2</v>
      </c>
      <c r="G27" s="8">
        <v>193.2</v>
      </c>
      <c r="H27" s="8">
        <v>229.2</v>
      </c>
      <c r="I27" s="79">
        <v>255.2</v>
      </c>
      <c r="J27" s="79">
        <v>247.5</v>
      </c>
      <c r="K27" s="9">
        <v>300</v>
      </c>
      <c r="L27" s="100">
        <v>250</v>
      </c>
      <c r="M27" s="262">
        <v>350</v>
      </c>
      <c r="N27" s="100">
        <v>256.60000000000002</v>
      </c>
      <c r="O27" s="259">
        <v>350</v>
      </c>
      <c r="P27" s="262">
        <v>191.8</v>
      </c>
      <c r="Q27" s="259">
        <v>400</v>
      </c>
      <c r="R27" s="259"/>
      <c r="S27" s="246"/>
      <c r="T27" s="207"/>
      <c r="V27" s="207"/>
      <c r="X27" s="211"/>
    </row>
    <row r="28" spans="1:24" x14ac:dyDescent="0.25">
      <c r="A28" s="224" t="s">
        <v>105</v>
      </c>
      <c r="B28" s="7" t="s">
        <v>106</v>
      </c>
      <c r="C28" s="27">
        <v>455.4</v>
      </c>
      <c r="D28" s="8">
        <v>588</v>
      </c>
      <c r="E28" s="8">
        <v>582.35</v>
      </c>
      <c r="F28" s="8">
        <v>863.6</v>
      </c>
      <c r="G28" s="8">
        <v>693.2</v>
      </c>
      <c r="H28" s="8">
        <v>718</v>
      </c>
      <c r="I28" s="79">
        <v>1037.1500000000001</v>
      </c>
      <c r="J28" s="79">
        <v>929.5</v>
      </c>
      <c r="K28" s="9">
        <v>2000</v>
      </c>
      <c r="L28" s="100">
        <v>735.25</v>
      </c>
      <c r="M28" s="262">
        <v>1000</v>
      </c>
      <c r="N28" s="100">
        <v>530.9</v>
      </c>
      <c r="O28" s="259">
        <v>1000</v>
      </c>
      <c r="P28" s="262">
        <v>714.2</v>
      </c>
      <c r="Q28" s="259">
        <v>1000</v>
      </c>
      <c r="R28" s="259"/>
      <c r="S28" s="246"/>
      <c r="T28" s="207"/>
      <c r="V28" s="207"/>
    </row>
    <row r="29" spans="1:24" x14ac:dyDescent="0.25">
      <c r="A29" s="224" t="s">
        <v>107</v>
      </c>
      <c r="B29" s="7" t="s">
        <v>108</v>
      </c>
      <c r="C29" s="27">
        <v>41.4</v>
      </c>
      <c r="D29" s="8">
        <v>0</v>
      </c>
      <c r="E29" s="8"/>
      <c r="F29" s="8"/>
      <c r="G29" s="8"/>
      <c r="H29" s="8"/>
      <c r="I29" s="79">
        <v>0</v>
      </c>
      <c r="J29" s="79"/>
      <c r="K29" s="9">
        <v>95</v>
      </c>
      <c r="L29" s="100"/>
      <c r="M29" s="262">
        <v>100</v>
      </c>
      <c r="N29" s="100"/>
      <c r="O29" s="259">
        <v>0</v>
      </c>
      <c r="P29" s="262"/>
      <c r="Q29" s="259">
        <v>0</v>
      </c>
      <c r="R29" s="259"/>
      <c r="S29" s="246"/>
      <c r="T29" s="207"/>
      <c r="V29" s="207"/>
    </row>
    <row r="30" spans="1:24" x14ac:dyDescent="0.25">
      <c r="A30" s="224" t="s">
        <v>109</v>
      </c>
      <c r="B30" s="7" t="s">
        <v>110</v>
      </c>
      <c r="C30" s="27">
        <v>157</v>
      </c>
      <c r="D30" s="8">
        <v>124</v>
      </c>
      <c r="E30" s="8">
        <v>217</v>
      </c>
      <c r="F30" s="8">
        <v>276</v>
      </c>
      <c r="G30" s="8">
        <v>287</v>
      </c>
      <c r="H30" s="8">
        <v>215.4</v>
      </c>
      <c r="I30" s="79">
        <v>202.4</v>
      </c>
      <c r="J30" s="79">
        <v>169.5</v>
      </c>
      <c r="K30" s="9">
        <v>500</v>
      </c>
      <c r="L30" s="100">
        <v>132</v>
      </c>
      <c r="M30" s="262">
        <v>250</v>
      </c>
      <c r="N30" s="100">
        <v>166.8</v>
      </c>
      <c r="O30" s="259">
        <v>250</v>
      </c>
      <c r="P30" s="262">
        <v>114.6</v>
      </c>
      <c r="Q30" s="259">
        <v>275</v>
      </c>
      <c r="R30" s="259"/>
      <c r="S30" s="246"/>
      <c r="T30" s="207"/>
      <c r="V30" s="207"/>
    </row>
    <row r="31" spans="1:24" x14ac:dyDescent="0.25">
      <c r="A31" s="224" t="s">
        <v>111</v>
      </c>
      <c r="B31" s="7" t="s">
        <v>112</v>
      </c>
      <c r="C31" s="8">
        <v>350.26</v>
      </c>
      <c r="D31" s="8">
        <v>236.36</v>
      </c>
      <c r="E31" s="8">
        <v>243.42</v>
      </c>
      <c r="F31" s="8">
        <v>629.28</v>
      </c>
      <c r="G31" s="8">
        <v>424</v>
      </c>
      <c r="H31" s="8">
        <v>670.68</v>
      </c>
      <c r="I31" s="79">
        <v>1499.88</v>
      </c>
      <c r="J31" s="79">
        <v>2143.5</v>
      </c>
      <c r="K31" s="9">
        <v>2500</v>
      </c>
      <c r="L31" s="100">
        <v>742.56</v>
      </c>
      <c r="M31" s="262">
        <v>1500</v>
      </c>
      <c r="N31" s="100">
        <v>2081.04</v>
      </c>
      <c r="O31" s="259">
        <v>1500</v>
      </c>
      <c r="P31" s="262">
        <v>906.29</v>
      </c>
      <c r="Q31" s="259">
        <v>2100</v>
      </c>
      <c r="R31" s="259"/>
      <c r="S31" s="246"/>
      <c r="T31" s="207"/>
      <c r="V31" s="207"/>
    </row>
    <row r="32" spans="1:24" x14ac:dyDescent="0.25">
      <c r="A32" s="224" t="s">
        <v>113</v>
      </c>
      <c r="B32" s="7" t="s">
        <v>114</v>
      </c>
      <c r="C32" s="8">
        <v>72</v>
      </c>
      <c r="D32" s="8">
        <v>72</v>
      </c>
      <c r="E32" s="8">
        <v>72</v>
      </c>
      <c r="F32" s="8">
        <v>123.12</v>
      </c>
      <c r="G32" s="8">
        <v>132</v>
      </c>
      <c r="H32" s="8">
        <v>82.8</v>
      </c>
      <c r="I32" s="79">
        <v>124</v>
      </c>
      <c r="J32" s="79">
        <v>124</v>
      </c>
      <c r="K32" s="9">
        <v>250</v>
      </c>
      <c r="L32" s="100"/>
      <c r="M32" s="262">
        <v>250</v>
      </c>
      <c r="N32" s="100"/>
      <c r="O32" s="259">
        <v>250</v>
      </c>
      <c r="P32" s="262"/>
      <c r="Q32" s="259">
        <v>250</v>
      </c>
      <c r="R32" s="259"/>
      <c r="S32" s="246"/>
      <c r="T32" s="207"/>
      <c r="V32" s="207"/>
    </row>
    <row r="33" spans="1:22" hidden="1" x14ac:dyDescent="0.25">
      <c r="A33" s="224" t="s">
        <v>115</v>
      </c>
      <c r="B33" s="7" t="s">
        <v>116</v>
      </c>
      <c r="C33" s="8"/>
      <c r="D33" s="8"/>
      <c r="E33" s="8"/>
      <c r="F33" s="8">
        <v>36.770000000000003</v>
      </c>
      <c r="G33" s="8"/>
      <c r="H33" s="8"/>
      <c r="I33" s="79"/>
      <c r="J33" s="79"/>
      <c r="K33" s="9"/>
      <c r="L33" s="100"/>
      <c r="M33" s="262"/>
      <c r="N33" s="100"/>
      <c r="O33" s="259"/>
      <c r="P33" s="262"/>
      <c r="Q33" s="259"/>
      <c r="R33" s="259"/>
      <c r="S33" s="246"/>
      <c r="T33" s="207"/>
      <c r="V33" s="207"/>
    </row>
    <row r="34" spans="1:22" x14ac:dyDescent="0.25">
      <c r="A34" s="224" t="s">
        <v>117</v>
      </c>
      <c r="B34" s="7" t="s">
        <v>118</v>
      </c>
      <c r="C34" s="8">
        <v>216</v>
      </c>
      <c r="D34" s="8">
        <v>248.8</v>
      </c>
      <c r="E34" s="8">
        <v>298.56</v>
      </c>
      <c r="F34" s="8">
        <v>328.32</v>
      </c>
      <c r="G34" s="8">
        <v>496</v>
      </c>
      <c r="H34" s="8">
        <v>331.2</v>
      </c>
      <c r="I34" s="79">
        <v>268.83999999999997</v>
      </c>
      <c r="J34" s="79">
        <v>571.6</v>
      </c>
      <c r="K34" s="9">
        <v>1500</v>
      </c>
      <c r="L34" s="79">
        <v>611.52</v>
      </c>
      <c r="M34" s="260">
        <v>700</v>
      </c>
      <c r="N34" s="79">
        <v>546.84</v>
      </c>
      <c r="O34" s="259">
        <v>700</v>
      </c>
      <c r="P34" s="260">
        <v>287.98</v>
      </c>
      <c r="Q34" s="259">
        <v>700</v>
      </c>
      <c r="R34" s="259"/>
      <c r="S34" s="246"/>
      <c r="T34" s="207"/>
      <c r="V34" s="207"/>
    </row>
    <row r="35" spans="1:22" x14ac:dyDescent="0.25">
      <c r="A35" s="224" t="s">
        <v>119</v>
      </c>
      <c r="B35" s="7" t="s">
        <v>120</v>
      </c>
      <c r="C35" s="8">
        <v>744</v>
      </c>
      <c r="D35" s="8">
        <v>696.64</v>
      </c>
      <c r="E35" s="8">
        <v>646.88</v>
      </c>
      <c r="F35" s="8">
        <v>1114.92</v>
      </c>
      <c r="G35" s="8">
        <v>1096</v>
      </c>
      <c r="H35" s="8">
        <v>347.76</v>
      </c>
      <c r="I35" s="79">
        <v>1825.34</v>
      </c>
      <c r="J35" s="79">
        <v>1557.6</v>
      </c>
      <c r="K35" s="9">
        <v>3000</v>
      </c>
      <c r="L35" s="79">
        <v>2999.36</v>
      </c>
      <c r="M35" s="260">
        <v>3500</v>
      </c>
      <c r="N35" s="79">
        <v>607.6</v>
      </c>
      <c r="O35" s="259">
        <v>3500</v>
      </c>
      <c r="P35" s="260"/>
      <c r="Q35" s="259">
        <v>3500</v>
      </c>
      <c r="R35" s="259"/>
      <c r="S35" s="246"/>
      <c r="T35" s="207"/>
      <c r="V35" s="207"/>
    </row>
    <row r="36" spans="1:22" hidden="1" x14ac:dyDescent="0.25">
      <c r="A36" s="224" t="s">
        <v>121</v>
      </c>
      <c r="B36" s="7" t="s">
        <v>122</v>
      </c>
      <c r="C36" s="8"/>
      <c r="D36" s="8"/>
      <c r="E36" s="8"/>
      <c r="F36" s="8"/>
      <c r="G36" s="8">
        <v>120</v>
      </c>
      <c r="H36" s="8"/>
      <c r="I36" s="79"/>
      <c r="J36" s="79"/>
      <c r="K36" s="9"/>
      <c r="L36" s="79"/>
      <c r="M36" s="260"/>
      <c r="N36" s="79"/>
      <c r="O36" s="259"/>
      <c r="P36" s="260"/>
      <c r="Q36" s="259"/>
      <c r="R36" s="259"/>
      <c r="S36" s="246"/>
      <c r="T36" s="207"/>
      <c r="V36" s="207"/>
    </row>
    <row r="37" spans="1:22" x14ac:dyDescent="0.25">
      <c r="A37" s="224" t="s">
        <v>123</v>
      </c>
      <c r="B37" s="7" t="s">
        <v>124</v>
      </c>
      <c r="C37" s="8">
        <v>72</v>
      </c>
      <c r="D37" s="8">
        <v>72</v>
      </c>
      <c r="E37" s="8">
        <v>72</v>
      </c>
      <c r="F37" s="8">
        <v>72</v>
      </c>
      <c r="G37" s="8">
        <v>208</v>
      </c>
      <c r="H37" s="8">
        <v>115.92</v>
      </c>
      <c r="I37" s="79">
        <v>124</v>
      </c>
      <c r="J37" s="79">
        <v>124</v>
      </c>
      <c r="K37" s="9">
        <v>400</v>
      </c>
      <c r="L37" s="79">
        <v>127</v>
      </c>
      <c r="M37" s="260">
        <v>200</v>
      </c>
      <c r="N37" s="79">
        <v>132.46</v>
      </c>
      <c r="O37" s="259">
        <v>200</v>
      </c>
      <c r="P37" s="260">
        <v>71.39</v>
      </c>
      <c r="Q37" s="259">
        <v>225</v>
      </c>
      <c r="R37" s="259"/>
      <c r="S37" s="246"/>
      <c r="T37" s="207"/>
      <c r="V37" s="207"/>
    </row>
    <row r="38" spans="1:22" ht="13.8" thickBot="1" x14ac:dyDescent="0.3">
      <c r="A38" s="224"/>
      <c r="B38" s="7"/>
      <c r="C38" s="10"/>
      <c r="D38" s="10"/>
      <c r="E38" s="10"/>
      <c r="F38" s="10"/>
      <c r="G38" s="10"/>
      <c r="H38" s="10"/>
      <c r="I38" s="10"/>
      <c r="J38" s="10"/>
      <c r="K38" s="11"/>
      <c r="L38" s="10"/>
      <c r="M38" s="10"/>
      <c r="N38" s="10"/>
      <c r="O38" s="11"/>
      <c r="P38" s="10"/>
      <c r="Q38" s="11"/>
      <c r="R38" s="11"/>
      <c r="S38" s="11"/>
      <c r="T38" s="207"/>
      <c r="V38" s="207"/>
    </row>
    <row r="39" spans="1:22" x14ac:dyDescent="0.25">
      <c r="A39" s="224"/>
      <c r="B39" s="12" t="s">
        <v>34</v>
      </c>
      <c r="C39" s="13">
        <f t="shared" ref="C39:I39" si="1">SUM(C9:C38)</f>
        <v>89938.37</v>
      </c>
      <c r="D39" s="13">
        <f t="shared" si="1"/>
        <v>103744.03</v>
      </c>
      <c r="E39" s="13">
        <f t="shared" si="1"/>
        <v>94949.29</v>
      </c>
      <c r="F39" s="13">
        <f t="shared" si="1"/>
        <v>93004.470000000016</v>
      </c>
      <c r="G39" s="13">
        <f t="shared" si="1"/>
        <v>86631.79</v>
      </c>
      <c r="H39" s="13">
        <f t="shared" si="1"/>
        <v>88374.909999999974</v>
      </c>
      <c r="I39" s="13">
        <f t="shared" si="1"/>
        <v>92714.789999999964</v>
      </c>
      <c r="J39" s="13">
        <f t="shared" ref="J39" si="2">SUM(J9:J38)</f>
        <v>77501.360000000015</v>
      </c>
      <c r="K39" s="26">
        <f>SUM(K9:K38)</f>
        <v>106320</v>
      </c>
      <c r="L39" s="13">
        <f t="shared" ref="L39:O39" si="3">SUM(L9:L38)</f>
        <v>85460.26</v>
      </c>
      <c r="M39" s="13">
        <f>SUM(M10:M38)</f>
        <v>109846</v>
      </c>
      <c r="N39" s="13">
        <f t="shared" si="3"/>
        <v>89201.060000000012</v>
      </c>
      <c r="O39" s="26">
        <f t="shared" si="3"/>
        <v>130782</v>
      </c>
      <c r="P39" s="13">
        <f>SUM(P10:P38)</f>
        <v>34024.159999999996</v>
      </c>
      <c r="Q39" s="26">
        <f>SUM(Q9:Q38)</f>
        <v>155932</v>
      </c>
      <c r="R39" s="26"/>
      <c r="S39" s="26">
        <f>+Q39</f>
        <v>155932</v>
      </c>
      <c r="T39" s="207">
        <f>SUM(T10:T38)</f>
        <v>94835</v>
      </c>
      <c r="V39" s="207"/>
    </row>
    <row r="40" spans="1:22" x14ac:dyDescent="0.25">
      <c r="A40" s="224"/>
      <c r="B40" s="7"/>
      <c r="C40" s="8"/>
      <c r="D40" s="8"/>
      <c r="E40" s="8"/>
      <c r="F40" s="8"/>
      <c r="G40" s="8"/>
      <c r="H40" s="8"/>
      <c r="I40" s="8"/>
      <c r="J40" s="8"/>
      <c r="K40" s="9"/>
      <c r="L40" s="8"/>
      <c r="M40" s="8"/>
      <c r="N40" s="8"/>
      <c r="O40" s="9"/>
      <c r="P40" s="8"/>
      <c r="Q40" s="9"/>
      <c r="R40" s="9"/>
      <c r="S40" s="9"/>
    </row>
    <row r="41" spans="1:22" ht="13.8" thickBot="1" x14ac:dyDescent="0.3">
      <c r="A41" s="225"/>
      <c r="B41" s="15" t="s">
        <v>125</v>
      </c>
      <c r="C41" s="16">
        <f t="shared" ref="C41:Q41" si="4">+C39</f>
        <v>89938.37</v>
      </c>
      <c r="D41" s="16">
        <f t="shared" si="4"/>
        <v>103744.03</v>
      </c>
      <c r="E41" s="16">
        <f>+E39</f>
        <v>94949.29</v>
      </c>
      <c r="F41" s="16">
        <f>+F39</f>
        <v>93004.470000000016</v>
      </c>
      <c r="G41" s="16">
        <f>+G39</f>
        <v>86631.79</v>
      </c>
      <c r="H41" s="16">
        <f t="shared" si="4"/>
        <v>88374.909999999974</v>
      </c>
      <c r="I41" s="16">
        <f t="shared" si="4"/>
        <v>92714.789999999964</v>
      </c>
      <c r="J41" s="16">
        <f t="shared" ref="J41" si="5">+J39</f>
        <v>77501.360000000015</v>
      </c>
      <c r="K41" s="17">
        <f t="shared" ref="K41:O41" si="6">+K39</f>
        <v>106320</v>
      </c>
      <c r="L41" s="16">
        <f t="shared" si="6"/>
        <v>85460.26</v>
      </c>
      <c r="M41" s="16">
        <f t="shared" si="6"/>
        <v>109846</v>
      </c>
      <c r="N41" s="16"/>
      <c r="O41" s="17">
        <f t="shared" si="6"/>
        <v>130782</v>
      </c>
      <c r="P41" s="16">
        <f t="shared" si="4"/>
        <v>34024.159999999996</v>
      </c>
      <c r="Q41" s="17">
        <f t="shared" si="4"/>
        <v>155932</v>
      </c>
      <c r="R41" s="17">
        <f>+Q41</f>
        <v>155932</v>
      </c>
      <c r="S41" s="17">
        <f>+S39</f>
        <v>155932</v>
      </c>
    </row>
    <row r="42" spans="1:22" ht="13.8" thickTop="1" x14ac:dyDescent="0.25">
      <c r="A42" s="219"/>
      <c r="B42" s="48"/>
      <c r="C42" s="19"/>
      <c r="D42" s="19"/>
      <c r="E42" s="19"/>
      <c r="F42" s="19"/>
      <c r="G42" s="19"/>
      <c r="H42" s="19"/>
      <c r="I42" s="20"/>
      <c r="J42" s="20"/>
      <c r="K42" s="20"/>
      <c r="L42" s="20"/>
      <c r="M42" s="20"/>
      <c r="N42" s="20"/>
      <c r="O42" s="20"/>
      <c r="P42" s="94" t="s">
        <v>37</v>
      </c>
      <c r="Q42" s="278">
        <f>+Q41-O41</f>
        <v>25150</v>
      </c>
      <c r="R42" s="279">
        <f>ROUND((+Q42/O41),4)</f>
        <v>0.1923</v>
      </c>
      <c r="S42" s="20"/>
    </row>
    <row r="43" spans="1:22" x14ac:dyDescent="0.25">
      <c r="A43" s="219"/>
      <c r="B43" s="3"/>
      <c r="C43" s="19"/>
      <c r="D43" s="19"/>
      <c r="E43" s="19"/>
      <c r="F43" s="19"/>
      <c r="G43" s="19"/>
      <c r="H43" s="19"/>
      <c r="I43" s="20"/>
      <c r="J43" s="20"/>
      <c r="K43" s="20"/>
      <c r="L43" s="20"/>
      <c r="M43" s="20"/>
      <c r="N43" s="20"/>
      <c r="O43" s="20"/>
      <c r="P43" s="19"/>
      <c r="Q43" s="20"/>
      <c r="R43" s="20"/>
      <c r="S43" s="20"/>
    </row>
    <row r="44" spans="1:22" ht="15.6" x14ac:dyDescent="0.3">
      <c r="A44" s="247"/>
      <c r="B44" s="133"/>
      <c r="C44" s="134"/>
      <c r="D44" s="134"/>
      <c r="E44" s="134"/>
      <c r="F44" s="134"/>
      <c r="G44" s="134"/>
      <c r="H44" s="134"/>
      <c r="I44" s="133"/>
      <c r="J44" s="133"/>
      <c r="K44" s="133"/>
      <c r="L44" s="133"/>
      <c r="M44" s="133"/>
      <c r="N44" s="133"/>
      <c r="O44" s="133"/>
      <c r="P44" s="133"/>
      <c r="Q44" s="133"/>
      <c r="R44" s="133"/>
      <c r="S44" s="133"/>
    </row>
    <row r="45" spans="1:22" ht="15.6" x14ac:dyDescent="0.3">
      <c r="A45" s="219"/>
      <c r="B45" s="133"/>
      <c r="C45" s="134"/>
      <c r="D45" s="134"/>
      <c r="E45" s="134"/>
      <c r="F45" s="134"/>
      <c r="G45" s="134"/>
      <c r="H45" s="134"/>
      <c r="I45" s="133"/>
      <c r="J45" s="133"/>
      <c r="K45" s="133"/>
      <c r="L45" s="133"/>
      <c r="M45" s="133"/>
      <c r="N45" s="133"/>
      <c r="O45" s="133"/>
      <c r="P45" s="133"/>
      <c r="Q45" s="133"/>
      <c r="R45" s="133"/>
      <c r="S45" s="133"/>
    </row>
    <row r="46" spans="1:22" ht="16.2" thickBot="1" x14ac:dyDescent="0.35">
      <c r="A46" s="219"/>
      <c r="B46" s="133"/>
      <c r="C46" s="134"/>
      <c r="D46" s="134"/>
      <c r="E46" s="134"/>
      <c r="F46" s="134"/>
      <c r="G46" s="134"/>
      <c r="H46" s="134"/>
      <c r="I46" s="133"/>
      <c r="J46" s="133"/>
      <c r="K46" s="133"/>
      <c r="L46" s="133"/>
      <c r="M46" s="133"/>
      <c r="N46" s="133"/>
      <c r="O46" s="133"/>
      <c r="P46" s="133"/>
      <c r="Q46" s="133"/>
      <c r="R46" s="133"/>
      <c r="S46" s="133"/>
    </row>
    <row r="47" spans="1:22" ht="13.8" thickTop="1" x14ac:dyDescent="0.25">
      <c r="A47" s="231"/>
      <c r="B47" s="145"/>
      <c r="C47" s="146" t="s">
        <v>13</v>
      </c>
      <c r="D47" s="147" t="s">
        <v>13</v>
      </c>
      <c r="E47" s="147" t="s">
        <v>13</v>
      </c>
      <c r="F47" s="99"/>
      <c r="G47" s="99"/>
      <c r="H47" s="99"/>
      <c r="I47" s="101"/>
      <c r="J47" s="101"/>
      <c r="K47" s="101"/>
      <c r="L47" s="101"/>
      <c r="M47" s="148" t="s">
        <v>12</v>
      </c>
      <c r="N47" s="149" t="s">
        <v>31</v>
      </c>
      <c r="O47" s="150" t="s">
        <v>35</v>
      </c>
      <c r="P47" s="149" t="s">
        <v>36</v>
      </c>
      <c r="Q47" s="151"/>
      <c r="R47" s="193"/>
      <c r="S47" s="150"/>
    </row>
    <row r="48" spans="1:22" ht="13.8" thickBot="1" x14ac:dyDescent="0.3">
      <c r="A48" s="232" t="s">
        <v>30</v>
      </c>
      <c r="B48" s="152"/>
      <c r="C48" s="153" t="s">
        <v>4</v>
      </c>
      <c r="D48" s="153" t="s">
        <v>5</v>
      </c>
      <c r="E48" s="154" t="s">
        <v>6</v>
      </c>
      <c r="F48" s="99"/>
      <c r="G48" s="99"/>
      <c r="H48" s="99"/>
      <c r="I48" s="101"/>
      <c r="J48" s="101"/>
      <c r="K48" s="101"/>
      <c r="L48" s="101"/>
      <c r="M48" s="155" t="s">
        <v>11</v>
      </c>
      <c r="N48" s="155" t="s">
        <v>18</v>
      </c>
      <c r="O48" s="154" t="s">
        <v>37</v>
      </c>
      <c r="P48" s="156" t="s">
        <v>37</v>
      </c>
      <c r="Q48" s="157" t="s">
        <v>38</v>
      </c>
      <c r="R48" s="194"/>
      <c r="S48" s="155"/>
    </row>
    <row r="49" spans="1:19" ht="13.8" thickTop="1" x14ac:dyDescent="0.25">
      <c r="A49" s="234" t="s">
        <v>68</v>
      </c>
      <c r="B49" s="162" t="s">
        <v>69</v>
      </c>
      <c r="C49" s="165">
        <v>17860.46</v>
      </c>
      <c r="D49" s="165">
        <v>18618.21</v>
      </c>
      <c r="E49" s="165">
        <v>18675.71</v>
      </c>
      <c r="F49" s="99"/>
      <c r="G49" s="99"/>
      <c r="H49" s="99"/>
      <c r="I49" s="101"/>
      <c r="J49" s="101"/>
      <c r="K49" s="101"/>
      <c r="L49" s="101"/>
      <c r="M49" s="164">
        <f>+O10</f>
        <v>27524</v>
      </c>
      <c r="N49" s="178">
        <f>+Q10</f>
        <v>28000</v>
      </c>
      <c r="O49" s="161">
        <f t="shared" ref="O49:O73" si="7">+N49-M49</f>
        <v>476</v>
      </c>
      <c r="P49" s="166">
        <f t="shared" ref="P49:P73" si="8">IF(M49+N49&lt;&gt;0,IF(M49&lt;&gt;0,IF(O49&lt;&gt;0,ROUND((+O49/M49),4),""),1),"")</f>
        <v>1.7299999999999999E-2</v>
      </c>
      <c r="Q49" s="160"/>
      <c r="R49" s="195"/>
      <c r="S49" s="161"/>
    </row>
    <row r="50" spans="1:19" x14ac:dyDescent="0.25">
      <c r="A50" s="234" t="s">
        <v>71</v>
      </c>
      <c r="B50" s="162" t="s">
        <v>72</v>
      </c>
      <c r="C50" s="165">
        <v>418.21</v>
      </c>
      <c r="D50" s="165">
        <v>455.51</v>
      </c>
      <c r="E50" s="165">
        <v>520.94000000000005</v>
      </c>
      <c r="F50" s="99"/>
      <c r="G50" s="99"/>
      <c r="H50" s="99"/>
      <c r="I50" s="101"/>
      <c r="J50" s="101"/>
      <c r="K50" s="101"/>
      <c r="L50" s="101"/>
      <c r="M50" s="164">
        <f>+O11</f>
        <v>1276</v>
      </c>
      <c r="N50" s="178">
        <f>+Q11</f>
        <v>1300</v>
      </c>
      <c r="O50" s="161">
        <f t="shared" si="7"/>
        <v>24</v>
      </c>
      <c r="P50" s="166">
        <f t="shared" si="8"/>
        <v>1.8800000000000001E-2</v>
      </c>
      <c r="Q50" s="160"/>
      <c r="R50" s="195"/>
      <c r="S50" s="161"/>
    </row>
    <row r="51" spans="1:19" x14ac:dyDescent="0.25">
      <c r="A51" s="234" t="s">
        <v>75</v>
      </c>
      <c r="B51" s="162" t="s">
        <v>76</v>
      </c>
      <c r="C51" s="165">
        <v>30066.65</v>
      </c>
      <c r="D51" s="165">
        <v>32695.66</v>
      </c>
      <c r="E51" s="165">
        <v>29432.98</v>
      </c>
      <c r="F51" s="99"/>
      <c r="G51" s="99"/>
      <c r="H51" s="99"/>
      <c r="I51" s="101"/>
      <c r="J51" s="101"/>
      <c r="K51" s="101"/>
      <c r="L51" s="101"/>
      <c r="M51" s="164">
        <f t="shared" ref="M51:M58" si="9">+O13</f>
        <v>25640</v>
      </c>
      <c r="N51" s="178">
        <f t="shared" ref="N51:N58" si="10">+Q13</f>
        <v>26000</v>
      </c>
      <c r="O51" s="161">
        <f t="shared" si="7"/>
        <v>360</v>
      </c>
      <c r="P51" s="166">
        <f t="shared" si="8"/>
        <v>1.4E-2</v>
      </c>
      <c r="Q51" s="160"/>
      <c r="R51" s="195"/>
      <c r="S51" s="161"/>
    </row>
    <row r="52" spans="1:19" x14ac:dyDescent="0.25">
      <c r="A52" s="234" t="s">
        <v>77</v>
      </c>
      <c r="B52" s="162" t="s">
        <v>78</v>
      </c>
      <c r="C52" s="165">
        <v>6158.88</v>
      </c>
      <c r="D52" s="165">
        <v>6302.72</v>
      </c>
      <c r="E52" s="165">
        <v>6068.61</v>
      </c>
      <c r="F52" s="99"/>
      <c r="G52" s="99"/>
      <c r="H52" s="99"/>
      <c r="I52" s="101"/>
      <c r="J52" s="101"/>
      <c r="K52" s="101"/>
      <c r="L52" s="101"/>
      <c r="M52" s="164">
        <f t="shared" si="9"/>
        <v>32064</v>
      </c>
      <c r="N52" s="178">
        <f t="shared" si="10"/>
        <v>33000</v>
      </c>
      <c r="O52" s="161">
        <f t="shared" si="7"/>
        <v>936</v>
      </c>
      <c r="P52" s="166">
        <f t="shared" si="8"/>
        <v>2.92E-2</v>
      </c>
      <c r="Q52" s="160"/>
      <c r="R52" s="195"/>
      <c r="S52" s="161"/>
    </row>
    <row r="53" spans="1:19" x14ac:dyDescent="0.25">
      <c r="A53" s="234" t="s">
        <v>79</v>
      </c>
      <c r="B53" s="162" t="s">
        <v>80</v>
      </c>
      <c r="C53" s="165">
        <v>3735.02</v>
      </c>
      <c r="D53" s="165">
        <v>3841.24</v>
      </c>
      <c r="E53" s="165">
        <v>3791.57</v>
      </c>
      <c r="F53" s="99"/>
      <c r="G53" s="99"/>
      <c r="H53" s="99"/>
      <c r="I53" s="101"/>
      <c r="J53" s="101"/>
      <c r="K53" s="101"/>
      <c r="L53" s="101"/>
      <c r="M53" s="164">
        <f t="shared" si="9"/>
        <v>5680</v>
      </c>
      <c r="N53" s="178">
        <f t="shared" si="10"/>
        <v>5700</v>
      </c>
      <c r="O53" s="161">
        <f t="shared" si="7"/>
        <v>20</v>
      </c>
      <c r="P53" s="166">
        <f t="shared" si="8"/>
        <v>3.5000000000000001E-3</v>
      </c>
      <c r="Q53" s="160"/>
      <c r="R53" s="195"/>
      <c r="S53" s="161"/>
    </row>
    <row r="54" spans="1:19" x14ac:dyDescent="0.25">
      <c r="A54" s="234" t="s">
        <v>81</v>
      </c>
      <c r="B54" s="162" t="s">
        <v>82</v>
      </c>
      <c r="C54" s="165">
        <v>2394.5</v>
      </c>
      <c r="D54" s="165">
        <v>2061.5700000000002</v>
      </c>
      <c r="E54" s="165">
        <v>1032.4000000000001</v>
      </c>
      <c r="F54" s="99"/>
      <c r="G54" s="99"/>
      <c r="H54" s="99"/>
      <c r="I54" s="101"/>
      <c r="J54" s="101"/>
      <c r="K54" s="101"/>
      <c r="L54" s="101"/>
      <c r="M54" s="164">
        <f t="shared" si="9"/>
        <v>1028</v>
      </c>
      <c r="N54" s="178">
        <f t="shared" si="10"/>
        <v>1100</v>
      </c>
      <c r="O54" s="161">
        <f t="shared" si="7"/>
        <v>72</v>
      </c>
      <c r="P54" s="166">
        <f t="shared" si="8"/>
        <v>7.0000000000000007E-2</v>
      </c>
      <c r="Q54" s="160"/>
      <c r="R54" s="195"/>
      <c r="S54" s="161"/>
    </row>
    <row r="55" spans="1:19" x14ac:dyDescent="0.25">
      <c r="A55" s="234" t="s">
        <v>83</v>
      </c>
      <c r="B55" s="162" t="s">
        <v>84</v>
      </c>
      <c r="C55" s="165">
        <v>2549.33</v>
      </c>
      <c r="D55" s="165">
        <v>2900.08</v>
      </c>
      <c r="E55" s="165">
        <v>2577.86</v>
      </c>
      <c r="F55" s="99"/>
      <c r="G55" s="99"/>
      <c r="H55" s="99"/>
      <c r="I55" s="101"/>
      <c r="J55" s="101"/>
      <c r="K55" s="101"/>
      <c r="L55" s="101"/>
      <c r="M55" s="164">
        <f t="shared" si="9"/>
        <v>3720</v>
      </c>
      <c r="N55" s="178">
        <f t="shared" si="10"/>
        <v>3800</v>
      </c>
      <c r="O55" s="161">
        <f t="shared" si="7"/>
        <v>80</v>
      </c>
      <c r="P55" s="166">
        <f t="shared" si="8"/>
        <v>2.1499999999999998E-2</v>
      </c>
      <c r="Q55" s="160"/>
      <c r="R55" s="195"/>
      <c r="S55" s="161"/>
    </row>
    <row r="56" spans="1:19" x14ac:dyDescent="0.25">
      <c r="A56" s="234" t="s">
        <v>85</v>
      </c>
      <c r="B56" s="162" t="s">
        <v>86</v>
      </c>
      <c r="C56" s="165">
        <v>14145.02</v>
      </c>
      <c r="D56" s="165">
        <v>21632.63</v>
      </c>
      <c r="E56" s="165">
        <v>18865.080000000002</v>
      </c>
      <c r="F56" s="99"/>
      <c r="G56" s="99"/>
      <c r="H56" s="99"/>
      <c r="I56" s="101"/>
      <c r="J56" s="101"/>
      <c r="K56" s="101"/>
      <c r="L56" s="101"/>
      <c r="M56" s="164">
        <f t="shared" si="9"/>
        <v>13000</v>
      </c>
      <c r="N56" s="178">
        <f t="shared" si="10"/>
        <v>34000</v>
      </c>
      <c r="O56" s="161">
        <f t="shared" si="7"/>
        <v>21000</v>
      </c>
      <c r="P56" s="166">
        <f t="shared" si="8"/>
        <v>1.6153999999999999</v>
      </c>
      <c r="Q56" s="160"/>
      <c r="R56" s="195"/>
      <c r="S56" s="161"/>
    </row>
    <row r="57" spans="1:19" x14ac:dyDescent="0.25">
      <c r="A57" s="234" t="s">
        <v>87</v>
      </c>
      <c r="B57" s="162" t="s">
        <v>88</v>
      </c>
      <c r="C57" s="165">
        <v>8111.96</v>
      </c>
      <c r="D57" s="165">
        <v>10821.64</v>
      </c>
      <c r="E57" s="165">
        <v>9566.7000000000007</v>
      </c>
      <c r="F57" s="99"/>
      <c r="G57" s="99"/>
      <c r="H57" s="99"/>
      <c r="I57" s="101"/>
      <c r="J57" s="101"/>
      <c r="K57" s="101"/>
      <c r="L57" s="101"/>
      <c r="M57" s="164">
        <f t="shared" si="9"/>
        <v>10000</v>
      </c>
      <c r="N57" s="178">
        <f t="shared" si="10"/>
        <v>11200</v>
      </c>
      <c r="O57" s="161">
        <f t="shared" si="7"/>
        <v>1200</v>
      </c>
      <c r="P57" s="166">
        <f t="shared" si="8"/>
        <v>0.12</v>
      </c>
      <c r="Q57" s="160"/>
      <c r="R57" s="195"/>
      <c r="S57" s="161"/>
    </row>
    <row r="58" spans="1:19" x14ac:dyDescent="0.25">
      <c r="A58" s="234" t="s">
        <v>89</v>
      </c>
      <c r="B58" s="162" t="s">
        <v>90</v>
      </c>
      <c r="C58" s="165"/>
      <c r="D58" s="165">
        <v>0</v>
      </c>
      <c r="E58" s="165"/>
      <c r="F58" s="99"/>
      <c r="G58" s="99"/>
      <c r="H58" s="99"/>
      <c r="I58" s="101"/>
      <c r="J58" s="101"/>
      <c r="K58" s="101"/>
      <c r="L58" s="101"/>
      <c r="M58" s="164">
        <f t="shared" si="9"/>
        <v>0</v>
      </c>
      <c r="N58" s="178">
        <f t="shared" si="10"/>
        <v>0</v>
      </c>
      <c r="O58" s="161">
        <f t="shared" si="7"/>
        <v>0</v>
      </c>
      <c r="P58" s="166" t="str">
        <f t="shared" si="8"/>
        <v/>
      </c>
      <c r="Q58" s="160"/>
      <c r="R58" s="195"/>
      <c r="S58" s="161"/>
    </row>
    <row r="59" spans="1:19" x14ac:dyDescent="0.25">
      <c r="A59" s="234" t="s">
        <v>93</v>
      </c>
      <c r="B59" s="162" t="s">
        <v>94</v>
      </c>
      <c r="C59" s="165">
        <v>619.48</v>
      </c>
      <c r="D59" s="165">
        <v>657.3</v>
      </c>
      <c r="E59" s="165">
        <v>614.69000000000005</v>
      </c>
      <c r="F59" s="99"/>
      <c r="G59" s="99"/>
      <c r="H59" s="99"/>
      <c r="I59" s="101"/>
      <c r="J59" s="101"/>
      <c r="K59" s="101"/>
      <c r="L59" s="101"/>
      <c r="M59" s="164">
        <f t="shared" ref="M59:M72" si="11">+O22</f>
        <v>700</v>
      </c>
      <c r="N59" s="178">
        <f t="shared" ref="N59:N69" si="12">+Q22</f>
        <v>784</v>
      </c>
      <c r="O59" s="161">
        <f t="shared" si="7"/>
        <v>84</v>
      </c>
      <c r="P59" s="166">
        <f t="shared" si="8"/>
        <v>0.12</v>
      </c>
      <c r="Q59" s="160"/>
      <c r="R59" s="195"/>
      <c r="S59" s="161"/>
    </row>
    <row r="60" spans="1:19" x14ac:dyDescent="0.25">
      <c r="A60" s="234" t="s">
        <v>95</v>
      </c>
      <c r="B60" s="162" t="s">
        <v>96</v>
      </c>
      <c r="C60" s="165">
        <v>1206.5999999999999</v>
      </c>
      <c r="D60" s="165">
        <v>1314.27</v>
      </c>
      <c r="E60" s="165">
        <v>1180.54</v>
      </c>
      <c r="F60" s="99"/>
      <c r="G60" s="99"/>
      <c r="H60" s="99"/>
      <c r="I60" s="101"/>
      <c r="J60" s="101"/>
      <c r="K60" s="101"/>
      <c r="L60" s="101"/>
      <c r="M60" s="164">
        <f t="shared" si="11"/>
        <v>1650</v>
      </c>
      <c r="N60" s="178">
        <f t="shared" si="12"/>
        <v>1848</v>
      </c>
      <c r="O60" s="161">
        <f t="shared" si="7"/>
        <v>198</v>
      </c>
      <c r="P60" s="166">
        <f t="shared" si="8"/>
        <v>0.12</v>
      </c>
      <c r="Q60" s="160"/>
      <c r="R60" s="195"/>
      <c r="S60" s="161"/>
    </row>
    <row r="61" spans="1:19" x14ac:dyDescent="0.25">
      <c r="A61" s="234" t="s">
        <v>97</v>
      </c>
      <c r="B61" s="162" t="s">
        <v>98</v>
      </c>
      <c r="C61" s="165">
        <v>347.6</v>
      </c>
      <c r="D61" s="165">
        <v>178.4</v>
      </c>
      <c r="E61" s="165">
        <v>211.9</v>
      </c>
      <c r="F61" s="99"/>
      <c r="G61" s="99"/>
      <c r="H61" s="99"/>
      <c r="I61" s="101"/>
      <c r="J61" s="101"/>
      <c r="K61" s="101"/>
      <c r="L61" s="101"/>
      <c r="M61" s="164">
        <f t="shared" si="11"/>
        <v>600</v>
      </c>
      <c r="N61" s="178">
        <f t="shared" si="12"/>
        <v>600</v>
      </c>
      <c r="O61" s="161">
        <f t="shared" si="7"/>
        <v>0</v>
      </c>
      <c r="P61" s="166" t="str">
        <f t="shared" si="8"/>
        <v/>
      </c>
      <c r="Q61" s="160"/>
      <c r="R61" s="195"/>
      <c r="S61" s="161"/>
    </row>
    <row r="62" spans="1:19" x14ac:dyDescent="0.25">
      <c r="A62" s="234" t="s">
        <v>99</v>
      </c>
      <c r="B62" s="162" t="s">
        <v>100</v>
      </c>
      <c r="C62" s="167">
        <v>103</v>
      </c>
      <c r="D62" s="165">
        <v>98</v>
      </c>
      <c r="E62" s="165">
        <v>140</v>
      </c>
      <c r="F62" s="99"/>
      <c r="G62" s="99"/>
      <c r="H62" s="99"/>
      <c r="I62" s="101"/>
      <c r="J62" s="101"/>
      <c r="K62" s="101"/>
      <c r="L62" s="101"/>
      <c r="M62" s="164">
        <f t="shared" si="11"/>
        <v>150</v>
      </c>
      <c r="N62" s="178">
        <f t="shared" si="12"/>
        <v>150</v>
      </c>
      <c r="O62" s="161">
        <f t="shared" si="7"/>
        <v>0</v>
      </c>
      <c r="P62" s="166" t="str">
        <f t="shared" si="8"/>
        <v/>
      </c>
      <c r="Q62" s="160"/>
      <c r="R62" s="195"/>
      <c r="S62" s="161"/>
    </row>
    <row r="63" spans="1:19" x14ac:dyDescent="0.25">
      <c r="A63" s="234" t="s">
        <v>101</v>
      </c>
      <c r="B63" s="162" t="s">
        <v>102</v>
      </c>
      <c r="C63" s="167"/>
      <c r="D63" s="165"/>
      <c r="E63" s="165"/>
      <c r="F63" s="99"/>
      <c r="G63" s="99"/>
      <c r="H63" s="99"/>
      <c r="I63" s="101"/>
      <c r="J63" s="101"/>
      <c r="K63" s="101"/>
      <c r="L63" s="101"/>
      <c r="M63" s="164">
        <f t="shared" si="11"/>
        <v>0</v>
      </c>
      <c r="N63" s="178">
        <f t="shared" si="12"/>
        <v>0</v>
      </c>
      <c r="O63" s="161">
        <f t="shared" si="7"/>
        <v>0</v>
      </c>
      <c r="P63" s="166" t="str">
        <f t="shared" si="8"/>
        <v/>
      </c>
      <c r="Q63" s="160"/>
      <c r="R63" s="195"/>
      <c r="S63" s="161"/>
    </row>
    <row r="64" spans="1:19" x14ac:dyDescent="0.25">
      <c r="A64" s="234" t="s">
        <v>103</v>
      </c>
      <c r="B64" s="162" t="s">
        <v>104</v>
      </c>
      <c r="C64" s="167">
        <v>113.6</v>
      </c>
      <c r="D64" s="165">
        <v>129</v>
      </c>
      <c r="E64" s="165">
        <v>138.1</v>
      </c>
      <c r="F64" s="99"/>
      <c r="G64" s="99"/>
      <c r="H64" s="99"/>
      <c r="I64" s="101"/>
      <c r="J64" s="101"/>
      <c r="K64" s="101"/>
      <c r="L64" s="101"/>
      <c r="M64" s="164">
        <f t="shared" si="11"/>
        <v>350</v>
      </c>
      <c r="N64" s="178">
        <f t="shared" si="12"/>
        <v>400</v>
      </c>
      <c r="O64" s="161">
        <f t="shared" si="7"/>
        <v>50</v>
      </c>
      <c r="P64" s="166">
        <f t="shared" si="8"/>
        <v>0.1429</v>
      </c>
      <c r="Q64" s="160"/>
      <c r="R64" s="195"/>
      <c r="S64" s="161"/>
    </row>
    <row r="65" spans="1:19" x14ac:dyDescent="0.25">
      <c r="A65" s="234" t="s">
        <v>105</v>
      </c>
      <c r="B65" s="162" t="s">
        <v>106</v>
      </c>
      <c r="C65" s="167">
        <v>455.4</v>
      </c>
      <c r="D65" s="165">
        <v>588</v>
      </c>
      <c r="E65" s="165">
        <v>582.35</v>
      </c>
      <c r="F65" s="99"/>
      <c r="G65" s="99"/>
      <c r="H65" s="99"/>
      <c r="I65" s="101"/>
      <c r="J65" s="101"/>
      <c r="K65" s="101"/>
      <c r="L65" s="101"/>
      <c r="M65" s="164">
        <f t="shared" si="11"/>
        <v>1000</v>
      </c>
      <c r="N65" s="178">
        <f t="shared" si="12"/>
        <v>1000</v>
      </c>
      <c r="O65" s="161">
        <f t="shared" si="7"/>
        <v>0</v>
      </c>
      <c r="P65" s="166" t="str">
        <f t="shared" si="8"/>
        <v/>
      </c>
      <c r="Q65" s="160"/>
      <c r="R65" s="195"/>
      <c r="S65" s="161"/>
    </row>
    <row r="66" spans="1:19" x14ac:dyDescent="0.25">
      <c r="A66" s="234" t="s">
        <v>107</v>
      </c>
      <c r="B66" s="162" t="s">
        <v>108</v>
      </c>
      <c r="C66" s="167">
        <v>41.4</v>
      </c>
      <c r="D66" s="165">
        <v>0</v>
      </c>
      <c r="E66" s="165"/>
      <c r="F66" s="99"/>
      <c r="G66" s="99"/>
      <c r="H66" s="99"/>
      <c r="I66" s="101"/>
      <c r="J66" s="101"/>
      <c r="K66" s="101"/>
      <c r="L66" s="101"/>
      <c r="M66" s="164">
        <f t="shared" si="11"/>
        <v>0</v>
      </c>
      <c r="N66" s="178">
        <f t="shared" si="12"/>
        <v>0</v>
      </c>
      <c r="O66" s="161">
        <f t="shared" si="7"/>
        <v>0</v>
      </c>
      <c r="P66" s="166" t="str">
        <f t="shared" si="8"/>
        <v/>
      </c>
      <c r="Q66" s="160"/>
      <c r="R66" s="195"/>
      <c r="S66" s="161"/>
    </row>
    <row r="67" spans="1:19" x14ac:dyDescent="0.25">
      <c r="A67" s="234" t="s">
        <v>109</v>
      </c>
      <c r="B67" s="162" t="s">
        <v>110</v>
      </c>
      <c r="C67" s="167">
        <v>157</v>
      </c>
      <c r="D67" s="165">
        <v>124</v>
      </c>
      <c r="E67" s="165">
        <v>217</v>
      </c>
      <c r="F67" s="99"/>
      <c r="G67" s="99"/>
      <c r="H67" s="99"/>
      <c r="I67" s="101"/>
      <c r="J67" s="101"/>
      <c r="K67" s="101"/>
      <c r="L67" s="101"/>
      <c r="M67" s="164">
        <f t="shared" si="11"/>
        <v>250</v>
      </c>
      <c r="N67" s="178">
        <f t="shared" si="12"/>
        <v>275</v>
      </c>
      <c r="O67" s="161">
        <f t="shared" si="7"/>
        <v>25</v>
      </c>
      <c r="P67" s="166">
        <f t="shared" si="8"/>
        <v>0.1</v>
      </c>
      <c r="Q67" s="160"/>
      <c r="R67" s="195"/>
      <c r="S67" s="161"/>
    </row>
    <row r="68" spans="1:19" x14ac:dyDescent="0.25">
      <c r="A68" s="234" t="s">
        <v>111</v>
      </c>
      <c r="B68" s="162" t="s">
        <v>112</v>
      </c>
      <c r="C68" s="165">
        <v>350.26</v>
      </c>
      <c r="D68" s="165">
        <v>236.36</v>
      </c>
      <c r="E68" s="165">
        <v>243.42</v>
      </c>
      <c r="F68" s="99"/>
      <c r="G68" s="99"/>
      <c r="H68" s="99"/>
      <c r="I68" s="101"/>
      <c r="J68" s="101"/>
      <c r="K68" s="101"/>
      <c r="L68" s="101"/>
      <c r="M68" s="164">
        <f t="shared" si="11"/>
        <v>1500</v>
      </c>
      <c r="N68" s="178">
        <f t="shared" si="12"/>
        <v>2100</v>
      </c>
      <c r="O68" s="161">
        <f t="shared" si="7"/>
        <v>600</v>
      </c>
      <c r="P68" s="166">
        <f t="shared" si="8"/>
        <v>0.4</v>
      </c>
      <c r="Q68" s="160"/>
      <c r="R68" s="195"/>
      <c r="S68" s="161"/>
    </row>
    <row r="69" spans="1:19" x14ac:dyDescent="0.25">
      <c r="A69" s="234" t="s">
        <v>113</v>
      </c>
      <c r="B69" s="162" t="s">
        <v>114</v>
      </c>
      <c r="C69" s="165">
        <v>72</v>
      </c>
      <c r="D69" s="165">
        <v>72</v>
      </c>
      <c r="E69" s="165">
        <v>72</v>
      </c>
      <c r="F69" s="99"/>
      <c r="G69" s="99"/>
      <c r="H69" s="99"/>
      <c r="I69" s="101"/>
      <c r="J69" s="101"/>
      <c r="K69" s="101"/>
      <c r="L69" s="101"/>
      <c r="M69" s="164">
        <f t="shared" si="11"/>
        <v>250</v>
      </c>
      <c r="N69" s="178">
        <f t="shared" si="12"/>
        <v>250</v>
      </c>
      <c r="O69" s="161">
        <f t="shared" si="7"/>
        <v>0</v>
      </c>
      <c r="P69" s="166" t="str">
        <f t="shared" si="8"/>
        <v/>
      </c>
      <c r="Q69" s="160"/>
      <c r="R69" s="195"/>
      <c r="S69" s="161"/>
    </row>
    <row r="70" spans="1:19" x14ac:dyDescent="0.25">
      <c r="A70" s="234" t="s">
        <v>117</v>
      </c>
      <c r="B70" s="162" t="s">
        <v>118</v>
      </c>
      <c r="C70" s="165">
        <v>216</v>
      </c>
      <c r="D70" s="165">
        <v>248.8</v>
      </c>
      <c r="E70" s="165">
        <v>298.56</v>
      </c>
      <c r="F70" s="99"/>
      <c r="G70" s="99"/>
      <c r="H70" s="99"/>
      <c r="I70" s="101"/>
      <c r="J70" s="101"/>
      <c r="K70" s="101"/>
      <c r="L70" s="101"/>
      <c r="M70" s="164">
        <f t="shared" si="11"/>
        <v>0</v>
      </c>
      <c r="N70" s="178">
        <f>+Q34</f>
        <v>700</v>
      </c>
      <c r="O70" s="161">
        <f t="shared" si="7"/>
        <v>700</v>
      </c>
      <c r="P70" s="166">
        <f t="shared" si="8"/>
        <v>1</v>
      </c>
      <c r="Q70" s="160"/>
      <c r="R70" s="195"/>
      <c r="S70" s="161"/>
    </row>
    <row r="71" spans="1:19" x14ac:dyDescent="0.25">
      <c r="A71" s="234" t="s">
        <v>119</v>
      </c>
      <c r="B71" s="162" t="s">
        <v>120</v>
      </c>
      <c r="C71" s="165">
        <v>744</v>
      </c>
      <c r="D71" s="165">
        <v>696.64</v>
      </c>
      <c r="E71" s="165">
        <v>646.88</v>
      </c>
      <c r="F71" s="99"/>
      <c r="G71" s="99"/>
      <c r="H71" s="99"/>
      <c r="I71" s="101"/>
      <c r="J71" s="101"/>
      <c r="K71" s="101"/>
      <c r="L71" s="101"/>
      <c r="M71" s="164">
        <f t="shared" si="11"/>
        <v>700</v>
      </c>
      <c r="N71" s="178">
        <f>+Q35</f>
        <v>3500</v>
      </c>
      <c r="O71" s="161">
        <f t="shared" si="7"/>
        <v>2800</v>
      </c>
      <c r="P71" s="166">
        <f t="shared" si="8"/>
        <v>4</v>
      </c>
      <c r="Q71" s="160"/>
      <c r="R71" s="195"/>
      <c r="S71" s="161"/>
    </row>
    <row r="72" spans="1:19" hidden="1" x14ac:dyDescent="0.25">
      <c r="A72" s="234" t="s">
        <v>121</v>
      </c>
      <c r="B72" s="162" t="s">
        <v>122</v>
      </c>
      <c r="C72" s="165"/>
      <c r="D72" s="165"/>
      <c r="E72" s="165"/>
      <c r="F72" s="99"/>
      <c r="G72" s="99"/>
      <c r="H72" s="99"/>
      <c r="I72" s="101"/>
      <c r="J72" s="101"/>
      <c r="K72" s="101"/>
      <c r="L72" s="101"/>
      <c r="M72" s="164">
        <f t="shared" si="11"/>
        <v>3500</v>
      </c>
      <c r="N72" s="178">
        <f>+Q36</f>
        <v>0</v>
      </c>
      <c r="O72" s="161">
        <f t="shared" si="7"/>
        <v>-3500</v>
      </c>
      <c r="P72" s="166">
        <f t="shared" si="8"/>
        <v>-1</v>
      </c>
      <c r="Q72" s="160"/>
      <c r="R72" s="195"/>
      <c r="S72" s="161"/>
    </row>
    <row r="73" spans="1:19" x14ac:dyDescent="0.25">
      <c r="A73" s="234" t="s">
        <v>123</v>
      </c>
      <c r="B73" s="162" t="s">
        <v>124</v>
      </c>
      <c r="C73" s="165">
        <v>72</v>
      </c>
      <c r="D73" s="165">
        <v>72</v>
      </c>
      <c r="E73" s="165">
        <v>72</v>
      </c>
      <c r="F73" s="99"/>
      <c r="G73" s="99"/>
      <c r="H73" s="99"/>
      <c r="I73" s="101"/>
      <c r="J73" s="101"/>
      <c r="K73" s="101"/>
      <c r="L73" s="101"/>
      <c r="M73" s="164">
        <f>+O37</f>
        <v>200</v>
      </c>
      <c r="N73" s="178">
        <f>+Q37</f>
        <v>225</v>
      </c>
      <c r="O73" s="161">
        <f t="shared" si="7"/>
        <v>25</v>
      </c>
      <c r="P73" s="166">
        <f t="shared" si="8"/>
        <v>0.125</v>
      </c>
      <c r="Q73" s="160"/>
      <c r="R73" s="195"/>
      <c r="S73" s="161"/>
    </row>
    <row r="74" spans="1:19" x14ac:dyDescent="0.25">
      <c r="D74" s="99"/>
      <c r="E74" s="99"/>
      <c r="F74" s="99"/>
      <c r="G74" s="99"/>
      <c r="H74" s="99"/>
      <c r="I74" s="101"/>
      <c r="J74" s="101"/>
      <c r="K74" s="101"/>
      <c r="L74" s="101"/>
      <c r="M74" s="99"/>
      <c r="N74" s="101"/>
      <c r="O74" s="101"/>
    </row>
    <row r="75" spans="1:19" x14ac:dyDescent="0.25">
      <c r="B75" s="3" t="s">
        <v>39</v>
      </c>
      <c r="C75" s="18"/>
      <c r="D75" s="18"/>
      <c r="E75" s="18"/>
      <c r="F75" s="18"/>
      <c r="G75" s="18"/>
      <c r="H75" s="99"/>
      <c r="I75" s="101"/>
      <c r="J75" s="101"/>
      <c r="K75" s="101"/>
      <c r="L75" s="101"/>
      <c r="M75" s="209">
        <f>SUM(M49:M73)</f>
        <v>130782</v>
      </c>
      <c r="N75" s="209">
        <f>SUM(N49:N73)</f>
        <v>155932</v>
      </c>
      <c r="O75" s="209">
        <f>SUM(O49:O73)</f>
        <v>25150</v>
      </c>
      <c r="P75" s="210">
        <f>IF(M75+N75&lt;&gt;0,IF(M75&lt;&gt;0,IF(O75&lt;&gt;0,ROUND((+O75/M75),4),""),1),"")</f>
        <v>0.1923</v>
      </c>
    </row>
  </sheetData>
  <phoneticPr fontId="0" type="noConversion"/>
  <hyperlinks>
    <hyperlink ref="A1" location="'Working Budget with funding det'!A1" display="Main " xr:uid="{00000000-0004-0000-1800-000000000000}"/>
    <hyperlink ref="B1" location="'Table of Contents'!A1" display="TOC" xr:uid="{00000000-0004-0000-1800-000001000000}"/>
  </hyperlinks>
  <pageMargins left="0.75" right="0.75" top="1" bottom="1" header="0.5" footer="0.5"/>
  <pageSetup scale="89" fitToHeight="2" orientation="landscape" r:id="rId1"/>
  <headerFooter alignWithMargins="0">
    <oddFooter>&amp;L&amp;D  &amp;T&amp;C&amp;F&amp;R&amp;A</oddFooter>
  </headerFooter>
  <rowBreaks count="1" manualBreakCount="1">
    <brk id="41"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92D050"/>
  </sheetPr>
  <dimension ref="A1:L40"/>
  <sheetViews>
    <sheetView workbookViewId="0">
      <selection activeCell="F10" sqref="F10"/>
    </sheetView>
  </sheetViews>
  <sheetFormatPr defaultRowHeight="13.2" x14ac:dyDescent="0.25"/>
  <sheetData>
    <row r="1" spans="1:12" x14ac:dyDescent="0.25">
      <c r="A1" s="132" t="s">
        <v>2</v>
      </c>
    </row>
    <row r="2" spans="1:12" x14ac:dyDescent="0.25">
      <c r="A2" s="141" t="s">
        <v>18</v>
      </c>
      <c r="B2" s="248" t="s">
        <v>286</v>
      </c>
      <c r="C2" s="256">
        <v>2.5000000000000001E-2</v>
      </c>
    </row>
    <row r="3" spans="1:12" x14ac:dyDescent="0.25">
      <c r="B3" t="s">
        <v>256</v>
      </c>
    </row>
    <row r="4" spans="1:12" x14ac:dyDescent="0.25">
      <c r="C4" s="244">
        <v>1</v>
      </c>
      <c r="D4" s="244">
        <v>2</v>
      </c>
      <c r="E4" s="244">
        <v>3</v>
      </c>
      <c r="F4" s="244">
        <v>4</v>
      </c>
      <c r="G4" s="244">
        <v>5</v>
      </c>
      <c r="H4" s="244">
        <v>6</v>
      </c>
      <c r="I4" s="244">
        <v>7</v>
      </c>
      <c r="J4" s="244">
        <v>8</v>
      </c>
      <c r="K4" s="244">
        <v>9</v>
      </c>
      <c r="L4" s="244">
        <v>10</v>
      </c>
    </row>
    <row r="5" spans="1:12" x14ac:dyDescent="0.25">
      <c r="A5" t="s">
        <v>258</v>
      </c>
      <c r="B5" s="244">
        <v>1</v>
      </c>
      <c r="C5" s="244">
        <v>2</v>
      </c>
      <c r="D5" s="244">
        <v>3</v>
      </c>
      <c r="E5" s="244">
        <v>4</v>
      </c>
      <c r="F5" s="244">
        <v>5</v>
      </c>
      <c r="G5" s="244">
        <v>6</v>
      </c>
      <c r="H5" s="244">
        <v>7</v>
      </c>
      <c r="I5" s="244">
        <v>8</v>
      </c>
      <c r="J5" s="244">
        <v>9</v>
      </c>
      <c r="K5" s="244">
        <v>10</v>
      </c>
      <c r="L5" s="244">
        <v>11</v>
      </c>
    </row>
    <row r="6" spans="1:12" x14ac:dyDescent="0.25">
      <c r="A6" t="s">
        <v>252</v>
      </c>
      <c r="B6" s="270">
        <f>ROUND((+B17*(1+$C$2)),2)</f>
        <v>16.03</v>
      </c>
      <c r="C6" s="1">
        <f t="shared" ref="C6:K6" si="0">ROUND((+C17*(1+$C$2)),2)</f>
        <v>16.43</v>
      </c>
      <c r="D6" s="1">
        <f t="shared" si="0"/>
        <v>16.84</v>
      </c>
      <c r="E6" s="1">
        <f t="shared" si="0"/>
        <v>17.27</v>
      </c>
      <c r="F6" s="1">
        <f t="shared" si="0"/>
        <v>17.670000000000002</v>
      </c>
      <c r="G6" s="1">
        <f t="shared" si="0"/>
        <v>18.14</v>
      </c>
      <c r="H6" s="1">
        <f t="shared" si="0"/>
        <v>18.55</v>
      </c>
      <c r="I6" s="1">
        <f t="shared" si="0"/>
        <v>18.96</v>
      </c>
      <c r="J6" s="1">
        <f t="shared" si="0"/>
        <v>19.329999999999998</v>
      </c>
      <c r="K6" s="1">
        <f t="shared" si="0"/>
        <v>19.73</v>
      </c>
      <c r="L6" s="1">
        <v>20.12</v>
      </c>
    </row>
    <row r="7" spans="1:12" x14ac:dyDescent="0.25">
      <c r="A7" t="s">
        <v>253</v>
      </c>
      <c r="B7" s="270">
        <f t="shared" ref="B7:K10" si="1">ROUND((+B18*(1+$C$2)),2)</f>
        <v>18.899999999999999</v>
      </c>
      <c r="C7" s="1">
        <f t="shared" si="1"/>
        <v>19.36</v>
      </c>
      <c r="D7" s="1">
        <f t="shared" si="1"/>
        <v>19.84</v>
      </c>
      <c r="E7" s="1">
        <f t="shared" si="1"/>
        <v>20.350000000000001</v>
      </c>
      <c r="F7" s="1">
        <f t="shared" si="1"/>
        <v>20.85</v>
      </c>
      <c r="G7" s="1">
        <f t="shared" si="1"/>
        <v>21.38</v>
      </c>
      <c r="H7" s="1">
        <f t="shared" si="1"/>
        <v>21.92</v>
      </c>
      <c r="I7" s="1">
        <f t="shared" si="1"/>
        <v>22.33</v>
      </c>
      <c r="J7" s="1">
        <f t="shared" si="1"/>
        <v>22.81</v>
      </c>
      <c r="K7" s="1">
        <f t="shared" si="1"/>
        <v>23.27</v>
      </c>
      <c r="L7" s="1">
        <v>23.74</v>
      </c>
    </row>
    <row r="8" spans="1:12" x14ac:dyDescent="0.25">
      <c r="A8" t="s">
        <v>254</v>
      </c>
      <c r="B8" s="270">
        <f t="shared" si="1"/>
        <v>20.34</v>
      </c>
      <c r="C8" s="1">
        <f t="shared" si="1"/>
        <v>20.84</v>
      </c>
      <c r="D8" s="1">
        <f t="shared" si="1"/>
        <v>21.36</v>
      </c>
      <c r="E8" s="1">
        <f t="shared" si="1"/>
        <v>21.9</v>
      </c>
      <c r="F8" s="1">
        <f t="shared" si="1"/>
        <v>22.43</v>
      </c>
      <c r="G8" s="1">
        <f t="shared" si="1"/>
        <v>23.01</v>
      </c>
      <c r="H8" s="1">
        <f t="shared" si="1"/>
        <v>23.58</v>
      </c>
      <c r="I8" s="1">
        <f t="shared" si="1"/>
        <v>24.06</v>
      </c>
      <c r="J8" s="1">
        <f t="shared" si="1"/>
        <v>24.53</v>
      </c>
      <c r="K8" s="1">
        <f t="shared" si="1"/>
        <v>25.02</v>
      </c>
      <c r="L8" s="1">
        <v>25.52</v>
      </c>
    </row>
    <row r="9" spans="1:12" x14ac:dyDescent="0.25">
      <c r="A9" t="s">
        <v>255</v>
      </c>
      <c r="B9" s="270">
        <f t="shared" si="1"/>
        <v>22.16</v>
      </c>
      <c r="C9" s="1">
        <f t="shared" si="1"/>
        <v>22.71</v>
      </c>
      <c r="D9" s="1">
        <f t="shared" si="1"/>
        <v>23.29</v>
      </c>
      <c r="E9" s="1">
        <f t="shared" si="1"/>
        <v>23.85</v>
      </c>
      <c r="F9" s="1">
        <f t="shared" si="1"/>
        <v>24.45</v>
      </c>
      <c r="G9" s="1">
        <f t="shared" si="1"/>
        <v>25.08</v>
      </c>
      <c r="H9" s="1">
        <f t="shared" si="1"/>
        <v>25.71</v>
      </c>
      <c r="I9" s="1">
        <f t="shared" si="1"/>
        <v>26.21</v>
      </c>
      <c r="J9" s="1">
        <f t="shared" si="1"/>
        <v>26.74</v>
      </c>
      <c r="K9" s="1">
        <f t="shared" si="1"/>
        <v>27.27</v>
      </c>
      <c r="L9" s="1">
        <v>27.82</v>
      </c>
    </row>
    <row r="10" spans="1:12" x14ac:dyDescent="0.25">
      <c r="A10" t="s">
        <v>259</v>
      </c>
      <c r="B10" s="270">
        <f t="shared" si="1"/>
        <v>23.9</v>
      </c>
      <c r="C10" s="1">
        <f t="shared" si="1"/>
        <v>24.52</v>
      </c>
      <c r="D10" s="1">
        <f t="shared" si="1"/>
        <v>25.13</v>
      </c>
      <c r="E10" s="1">
        <f t="shared" si="1"/>
        <v>25.77</v>
      </c>
      <c r="F10" s="1">
        <f t="shared" si="1"/>
        <v>26.4</v>
      </c>
      <c r="G10" s="1">
        <f t="shared" si="1"/>
        <v>27.06</v>
      </c>
      <c r="H10" s="1">
        <f t="shared" si="1"/>
        <v>27.75</v>
      </c>
      <c r="I10" s="1">
        <f t="shared" si="1"/>
        <v>28.29</v>
      </c>
      <c r="J10" s="1">
        <f t="shared" si="1"/>
        <v>28.86</v>
      </c>
      <c r="K10" s="1">
        <f t="shared" si="1"/>
        <v>29.45</v>
      </c>
      <c r="L10" s="1">
        <v>30.04</v>
      </c>
    </row>
    <row r="13" spans="1:12" x14ac:dyDescent="0.25">
      <c r="A13" s="141" t="s">
        <v>11</v>
      </c>
      <c r="B13" s="248" t="s">
        <v>287</v>
      </c>
      <c r="C13" s="256">
        <v>0.03</v>
      </c>
    </row>
    <row r="14" spans="1:12" x14ac:dyDescent="0.25">
      <c r="B14" t="s">
        <v>256</v>
      </c>
    </row>
    <row r="15" spans="1:12" x14ac:dyDescent="0.25">
      <c r="A15" t="s">
        <v>288</v>
      </c>
      <c r="C15" s="244">
        <v>1</v>
      </c>
      <c r="D15" s="244">
        <v>2</v>
      </c>
      <c r="E15" s="244">
        <v>3</v>
      </c>
      <c r="F15" s="244">
        <v>4</v>
      </c>
      <c r="G15" s="244">
        <v>5</v>
      </c>
      <c r="H15" s="244">
        <v>6</v>
      </c>
      <c r="I15" s="244">
        <v>7</v>
      </c>
      <c r="J15" s="244">
        <v>8</v>
      </c>
      <c r="K15" s="244">
        <v>9</v>
      </c>
      <c r="L15" s="244">
        <v>10</v>
      </c>
    </row>
    <row r="16" spans="1:12" x14ac:dyDescent="0.25">
      <c r="A16" t="s">
        <v>258</v>
      </c>
      <c r="B16" s="244">
        <v>1</v>
      </c>
      <c r="C16" s="244">
        <v>2</v>
      </c>
      <c r="D16" s="244">
        <v>3</v>
      </c>
      <c r="E16" s="244">
        <v>4</v>
      </c>
      <c r="F16" s="244">
        <v>5</v>
      </c>
      <c r="G16" s="244">
        <v>6</v>
      </c>
      <c r="H16" s="244">
        <v>7</v>
      </c>
      <c r="I16" s="244">
        <v>8</v>
      </c>
      <c r="J16" s="244">
        <v>9</v>
      </c>
      <c r="K16" s="244">
        <v>10</v>
      </c>
      <c r="L16" s="244">
        <v>11</v>
      </c>
    </row>
    <row r="17" spans="1:12" x14ac:dyDescent="0.25">
      <c r="A17" t="s">
        <v>252</v>
      </c>
      <c r="B17" s="270">
        <f>ROUND((+B27*(1+$C$13)),2)</f>
        <v>15.64</v>
      </c>
      <c r="C17" s="1">
        <f>ROUND((+C27*(1+$C$13)),2)</f>
        <v>16.03</v>
      </c>
      <c r="D17" s="1">
        <f t="shared" ref="D17:K17" si="2">ROUND((+D27*(1+$C$13)),2)</f>
        <v>16.43</v>
      </c>
      <c r="E17" s="1">
        <f t="shared" si="2"/>
        <v>16.850000000000001</v>
      </c>
      <c r="F17" s="1">
        <f t="shared" si="2"/>
        <v>17.239999999999998</v>
      </c>
      <c r="G17" s="1">
        <f t="shared" si="2"/>
        <v>17.7</v>
      </c>
      <c r="H17" s="1">
        <f t="shared" si="2"/>
        <v>18.100000000000001</v>
      </c>
      <c r="I17" s="1">
        <f t="shared" si="2"/>
        <v>18.5</v>
      </c>
      <c r="J17" s="1">
        <f t="shared" si="2"/>
        <v>18.86</v>
      </c>
      <c r="K17" s="1">
        <f t="shared" si="2"/>
        <v>19.25</v>
      </c>
      <c r="L17" s="1">
        <v>19.64</v>
      </c>
    </row>
    <row r="18" spans="1:12" x14ac:dyDescent="0.25">
      <c r="A18" t="s">
        <v>253</v>
      </c>
      <c r="B18" s="270">
        <f t="shared" ref="B18:C21" si="3">ROUND((+B28*(1+$C$13)),2)</f>
        <v>18.440000000000001</v>
      </c>
      <c r="C18" s="1">
        <f t="shared" si="3"/>
        <v>18.89</v>
      </c>
      <c r="D18" s="1">
        <f t="shared" ref="D18:K18" si="4">ROUND((+D28*(1+$C$13)),2)</f>
        <v>19.36</v>
      </c>
      <c r="E18" s="1">
        <f t="shared" si="4"/>
        <v>19.850000000000001</v>
      </c>
      <c r="F18" s="1">
        <f t="shared" si="4"/>
        <v>20.34</v>
      </c>
      <c r="G18" s="1">
        <f t="shared" si="4"/>
        <v>20.86</v>
      </c>
      <c r="H18" s="1">
        <f t="shared" si="4"/>
        <v>21.39</v>
      </c>
      <c r="I18" s="1">
        <f t="shared" si="4"/>
        <v>21.79</v>
      </c>
      <c r="J18" s="1">
        <f t="shared" si="4"/>
        <v>22.25</v>
      </c>
      <c r="K18" s="1">
        <f t="shared" si="4"/>
        <v>22.7</v>
      </c>
      <c r="L18" s="1">
        <v>23.15</v>
      </c>
    </row>
    <row r="19" spans="1:12" x14ac:dyDescent="0.25">
      <c r="A19" t="s">
        <v>254</v>
      </c>
      <c r="B19" s="270">
        <f t="shared" si="3"/>
        <v>19.84</v>
      </c>
      <c r="C19" s="1">
        <f t="shared" si="3"/>
        <v>20.329999999999998</v>
      </c>
      <c r="D19" s="1">
        <f t="shared" ref="D19:K19" si="5">ROUND((+D29*(1+$C$13)),2)</f>
        <v>20.84</v>
      </c>
      <c r="E19" s="1">
        <f t="shared" si="5"/>
        <v>21.37</v>
      </c>
      <c r="F19" s="1">
        <f t="shared" si="5"/>
        <v>21.88</v>
      </c>
      <c r="G19" s="1">
        <f t="shared" si="5"/>
        <v>22.45</v>
      </c>
      <c r="H19" s="1">
        <f t="shared" si="5"/>
        <v>23</v>
      </c>
      <c r="I19" s="1">
        <f t="shared" si="5"/>
        <v>23.47</v>
      </c>
      <c r="J19" s="1">
        <f t="shared" si="5"/>
        <v>23.93</v>
      </c>
      <c r="K19" s="1">
        <f t="shared" si="5"/>
        <v>24.41</v>
      </c>
      <c r="L19" s="1">
        <v>24.9</v>
      </c>
    </row>
    <row r="20" spans="1:12" x14ac:dyDescent="0.25">
      <c r="A20" t="s">
        <v>255</v>
      </c>
      <c r="B20" s="270">
        <f t="shared" si="3"/>
        <v>21.62</v>
      </c>
      <c r="C20" s="1">
        <f t="shared" si="3"/>
        <v>22.16</v>
      </c>
      <c r="D20" s="1">
        <f t="shared" ref="D20:K20" si="6">ROUND((+D30*(1+$C$13)),2)</f>
        <v>22.72</v>
      </c>
      <c r="E20" s="1">
        <f t="shared" si="6"/>
        <v>23.27</v>
      </c>
      <c r="F20" s="1">
        <f t="shared" si="6"/>
        <v>23.85</v>
      </c>
      <c r="G20" s="1">
        <f t="shared" si="6"/>
        <v>24.47</v>
      </c>
      <c r="H20" s="1">
        <f t="shared" si="6"/>
        <v>25.08</v>
      </c>
      <c r="I20" s="1">
        <f t="shared" si="6"/>
        <v>25.57</v>
      </c>
      <c r="J20" s="1">
        <f t="shared" si="6"/>
        <v>26.09</v>
      </c>
      <c r="K20" s="1">
        <f t="shared" si="6"/>
        <v>26.6</v>
      </c>
      <c r="L20" s="1">
        <v>27.13</v>
      </c>
    </row>
    <row r="21" spans="1:12" x14ac:dyDescent="0.25">
      <c r="A21" t="s">
        <v>259</v>
      </c>
      <c r="B21" s="270">
        <f t="shared" si="3"/>
        <v>23.32</v>
      </c>
      <c r="C21" s="1">
        <f t="shared" si="3"/>
        <v>23.92</v>
      </c>
      <c r="D21" s="1">
        <f t="shared" ref="D21:K21" si="7">ROUND((+D31*(1+$C$13)),2)</f>
        <v>24.52</v>
      </c>
      <c r="E21" s="1">
        <f t="shared" si="7"/>
        <v>25.14</v>
      </c>
      <c r="F21" s="1">
        <f t="shared" si="7"/>
        <v>25.76</v>
      </c>
      <c r="G21" s="1">
        <f t="shared" si="7"/>
        <v>26.4</v>
      </c>
      <c r="H21" s="1">
        <f t="shared" si="7"/>
        <v>27.07</v>
      </c>
      <c r="I21" s="1">
        <f t="shared" si="7"/>
        <v>27.6</v>
      </c>
      <c r="J21" s="1">
        <f t="shared" si="7"/>
        <v>28.16</v>
      </c>
      <c r="K21" s="1">
        <f t="shared" si="7"/>
        <v>28.73</v>
      </c>
      <c r="L21" s="1">
        <v>29.3</v>
      </c>
    </row>
    <row r="24" spans="1:12" x14ac:dyDescent="0.25">
      <c r="A24" t="s">
        <v>289</v>
      </c>
      <c r="F24" t="s">
        <v>290</v>
      </c>
    </row>
    <row r="25" spans="1:12" x14ac:dyDescent="0.25">
      <c r="B25" t="s">
        <v>256</v>
      </c>
    </row>
    <row r="26" spans="1:12" x14ac:dyDescent="0.25">
      <c r="A26" t="s">
        <v>258</v>
      </c>
      <c r="B26" s="244">
        <v>1</v>
      </c>
      <c r="C26" s="244">
        <v>2</v>
      </c>
      <c r="D26" s="244">
        <v>3</v>
      </c>
      <c r="E26" s="244">
        <v>4</v>
      </c>
      <c r="F26" s="244">
        <v>5</v>
      </c>
      <c r="G26" s="244">
        <v>6</v>
      </c>
      <c r="H26" s="244">
        <v>7</v>
      </c>
      <c r="I26" s="244">
        <v>8</v>
      </c>
      <c r="J26" s="244">
        <v>9</v>
      </c>
      <c r="K26" s="244">
        <v>10</v>
      </c>
    </row>
    <row r="27" spans="1:12" x14ac:dyDescent="0.25">
      <c r="A27" t="s">
        <v>252</v>
      </c>
      <c r="B27" s="1">
        <v>15.18</v>
      </c>
      <c r="C27" s="1">
        <v>15.56</v>
      </c>
      <c r="D27" s="1">
        <v>15.95</v>
      </c>
      <c r="E27" s="1">
        <v>16.36</v>
      </c>
      <c r="F27" s="1">
        <v>16.739999999999998</v>
      </c>
      <c r="G27" s="1">
        <v>17.18</v>
      </c>
      <c r="H27" s="1">
        <v>17.57</v>
      </c>
      <c r="I27" s="1">
        <v>17.96</v>
      </c>
      <c r="J27" s="1">
        <v>18.309999999999999</v>
      </c>
      <c r="K27" s="1">
        <v>18.690000000000001</v>
      </c>
    </row>
    <row r="28" spans="1:12" x14ac:dyDescent="0.25">
      <c r="A28" t="s">
        <v>253</v>
      </c>
      <c r="B28" s="1">
        <v>17.899999999999999</v>
      </c>
      <c r="C28" s="1">
        <v>18.34</v>
      </c>
      <c r="D28" s="1">
        <v>18.8</v>
      </c>
      <c r="E28" s="1">
        <v>19.27</v>
      </c>
      <c r="F28" s="1">
        <v>19.75</v>
      </c>
      <c r="G28" s="1">
        <v>20.25</v>
      </c>
      <c r="H28" s="1">
        <v>20.77</v>
      </c>
      <c r="I28" s="1">
        <v>21.16</v>
      </c>
      <c r="J28" s="1">
        <v>21.6</v>
      </c>
      <c r="K28" s="1">
        <v>22.04</v>
      </c>
    </row>
    <row r="29" spans="1:12" x14ac:dyDescent="0.25">
      <c r="A29" t="s">
        <v>254</v>
      </c>
      <c r="B29" s="1">
        <v>19.260000000000002</v>
      </c>
      <c r="C29" s="1">
        <v>19.739999999999998</v>
      </c>
      <c r="D29" s="1">
        <v>20.23</v>
      </c>
      <c r="E29" s="1">
        <v>20.75</v>
      </c>
      <c r="F29" s="1">
        <v>21.24</v>
      </c>
      <c r="G29" s="1">
        <v>21.8</v>
      </c>
      <c r="H29" s="1">
        <v>22.33</v>
      </c>
      <c r="I29" s="1">
        <v>22.79</v>
      </c>
      <c r="J29" s="1">
        <v>23.23</v>
      </c>
      <c r="K29" s="1">
        <v>23.7</v>
      </c>
    </row>
    <row r="30" spans="1:12" x14ac:dyDescent="0.25">
      <c r="A30" t="s">
        <v>255</v>
      </c>
      <c r="B30" s="1">
        <v>20.99</v>
      </c>
      <c r="C30" s="1">
        <v>21.51</v>
      </c>
      <c r="D30" s="1">
        <v>22.06</v>
      </c>
      <c r="E30" s="1">
        <v>22.59</v>
      </c>
      <c r="F30" s="1">
        <v>23.16</v>
      </c>
      <c r="G30" s="1">
        <v>23.76</v>
      </c>
      <c r="H30" s="1">
        <v>24.35</v>
      </c>
      <c r="I30" s="1">
        <v>24.83</v>
      </c>
      <c r="J30" s="1">
        <v>25.33</v>
      </c>
      <c r="K30" s="1">
        <v>25.83</v>
      </c>
    </row>
    <row r="31" spans="1:12" x14ac:dyDescent="0.25">
      <c r="A31" t="s">
        <v>259</v>
      </c>
      <c r="B31" s="1">
        <v>22.64</v>
      </c>
      <c r="C31" s="1">
        <v>23.22</v>
      </c>
      <c r="D31" s="1">
        <v>23.81</v>
      </c>
      <c r="E31" s="1">
        <v>24.41</v>
      </c>
      <c r="F31" s="1">
        <v>25.01</v>
      </c>
      <c r="G31" s="1">
        <v>25.63</v>
      </c>
      <c r="H31" s="1">
        <v>26.28</v>
      </c>
      <c r="I31" s="1">
        <v>26.8</v>
      </c>
      <c r="J31" s="1">
        <v>27.34</v>
      </c>
      <c r="K31" s="1">
        <v>27.89</v>
      </c>
    </row>
    <row r="33" spans="1:11" x14ac:dyDescent="0.25">
      <c r="A33" t="s">
        <v>9</v>
      </c>
      <c r="F33" t="s">
        <v>290</v>
      </c>
    </row>
    <row r="34" spans="1:11" x14ac:dyDescent="0.25">
      <c r="B34" t="s">
        <v>256</v>
      </c>
    </row>
    <row r="35" spans="1:11" x14ac:dyDescent="0.25">
      <c r="A35" t="s">
        <v>258</v>
      </c>
      <c r="B35" s="244">
        <v>1</v>
      </c>
      <c r="C35" s="244">
        <v>2</v>
      </c>
      <c r="D35" s="244">
        <v>3</v>
      </c>
      <c r="E35" s="244">
        <v>4</v>
      </c>
      <c r="F35" s="244">
        <v>5</v>
      </c>
      <c r="G35" s="244">
        <v>6</v>
      </c>
      <c r="H35" s="244">
        <v>7</v>
      </c>
      <c r="I35" s="244">
        <v>8</v>
      </c>
      <c r="J35" s="244">
        <v>9</v>
      </c>
      <c r="K35" s="244">
        <v>10</v>
      </c>
    </row>
    <row r="36" spans="1:11" x14ac:dyDescent="0.25">
      <c r="A36" t="s">
        <v>252</v>
      </c>
      <c r="B36" s="1">
        <v>14.96</v>
      </c>
      <c r="C36" s="1">
        <v>15.33</v>
      </c>
      <c r="D36" s="1">
        <v>15.71</v>
      </c>
      <c r="E36" s="1">
        <v>16.12</v>
      </c>
      <c r="F36" s="1">
        <v>16.489999999999998</v>
      </c>
      <c r="G36" s="1">
        <v>16.93</v>
      </c>
      <c r="H36" s="1">
        <v>17.309999999999999</v>
      </c>
      <c r="I36" s="1">
        <v>17.690000000000001</v>
      </c>
      <c r="J36" s="1">
        <v>18.04</v>
      </c>
      <c r="K36" s="1">
        <v>18.41</v>
      </c>
    </row>
    <row r="37" spans="1:11" x14ac:dyDescent="0.25">
      <c r="A37" t="s">
        <v>253</v>
      </c>
      <c r="B37" s="1">
        <v>17.64</v>
      </c>
      <c r="C37" s="1">
        <v>18.07</v>
      </c>
      <c r="D37" s="1">
        <v>18.52</v>
      </c>
      <c r="E37" s="1">
        <v>18.989999999999998</v>
      </c>
      <c r="F37" s="1">
        <v>19.46</v>
      </c>
      <c r="G37" s="1">
        <v>19.95</v>
      </c>
      <c r="H37" s="1">
        <v>20.46</v>
      </c>
      <c r="I37" s="1">
        <v>20.85</v>
      </c>
      <c r="J37" s="1">
        <v>21.28</v>
      </c>
      <c r="K37" s="1">
        <v>21.71</v>
      </c>
    </row>
    <row r="38" spans="1:11" x14ac:dyDescent="0.25">
      <c r="A38" t="s">
        <v>254</v>
      </c>
      <c r="B38" s="1">
        <v>18.98</v>
      </c>
      <c r="C38" s="1">
        <v>19.45</v>
      </c>
      <c r="D38" s="1">
        <v>19.93</v>
      </c>
      <c r="E38" s="1">
        <v>20.440000000000001</v>
      </c>
      <c r="F38" s="1">
        <v>20.93</v>
      </c>
      <c r="G38" s="1">
        <v>21.48</v>
      </c>
      <c r="H38" s="1">
        <v>22</v>
      </c>
      <c r="I38" s="1">
        <v>22.45</v>
      </c>
      <c r="J38" s="1">
        <v>22.89</v>
      </c>
      <c r="K38" s="1">
        <v>23.35</v>
      </c>
    </row>
    <row r="39" spans="1:11" x14ac:dyDescent="0.25">
      <c r="A39" t="s">
        <v>255</v>
      </c>
      <c r="B39" s="1">
        <v>20.68</v>
      </c>
      <c r="C39" s="1">
        <v>21.19</v>
      </c>
      <c r="D39" s="1">
        <v>21.73</v>
      </c>
      <c r="E39" s="1">
        <v>22.26</v>
      </c>
      <c r="F39" s="1">
        <v>22.82</v>
      </c>
      <c r="G39" s="1">
        <v>23.41</v>
      </c>
      <c r="H39" s="1">
        <v>23.99</v>
      </c>
      <c r="I39" s="1">
        <v>24.46</v>
      </c>
      <c r="J39" s="1">
        <v>24.96</v>
      </c>
      <c r="K39" s="1">
        <v>25.45</v>
      </c>
    </row>
    <row r="40" spans="1:11" x14ac:dyDescent="0.25">
      <c r="A40" t="s">
        <v>259</v>
      </c>
      <c r="B40" s="1">
        <v>22.31</v>
      </c>
      <c r="C40" s="1">
        <v>22.88</v>
      </c>
      <c r="D40" s="1">
        <v>23.46</v>
      </c>
      <c r="E40" s="1">
        <v>24.05</v>
      </c>
      <c r="F40" s="1">
        <v>24.64</v>
      </c>
      <c r="G40" s="1">
        <v>25.25</v>
      </c>
      <c r="H40" s="1">
        <v>25.89</v>
      </c>
      <c r="I40" s="1">
        <v>26.4</v>
      </c>
      <c r="J40" s="1">
        <v>26.94</v>
      </c>
      <c r="K40" s="1">
        <v>27.48</v>
      </c>
    </row>
  </sheetData>
  <hyperlinks>
    <hyperlink ref="A1" location="'Table of Contents'!A1" display="TOC" xr:uid="{00000000-0004-0000-41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Z122"/>
  <sheetViews>
    <sheetView zoomScaleNormal="100" workbookViewId="0">
      <pane ySplit="7" topLeftCell="A65" activePane="bottomLeft" state="frozen"/>
      <selection activeCell="P15" sqref="P15"/>
      <selection pane="bottomLeft" activeCell="A89" sqref="A69:A89"/>
    </sheetView>
  </sheetViews>
  <sheetFormatPr defaultRowHeight="13.2" x14ac:dyDescent="0.25"/>
  <cols>
    <col min="1" max="1" width="10.77734375" style="228" customWidth="1"/>
    <col min="2" max="2" width="36" customWidth="1"/>
    <col min="3" max="3" width="15.33203125" style="1" hidden="1" customWidth="1"/>
    <col min="4" max="12" width="15.33203125" style="67" hidden="1" customWidth="1"/>
    <col min="13" max="15" width="15.33203125" style="67" customWidth="1"/>
    <col min="16" max="20" width="14.44140625" style="1" customWidth="1"/>
    <col min="21" max="21" width="17.109375" customWidth="1"/>
    <col min="22" max="22" width="14" customWidth="1"/>
    <col min="23" max="23" width="14.44140625" customWidth="1"/>
    <col min="24" max="24" width="14.6640625" style="50" customWidth="1"/>
    <col min="25" max="25" width="14.44140625" customWidth="1"/>
    <col min="26" max="26" width="13.6640625" style="2" customWidth="1"/>
    <col min="27" max="27" width="12.6640625" customWidth="1"/>
    <col min="28" max="28" width="14.109375" customWidth="1"/>
    <col min="29" max="29" width="12.33203125" bestFit="1" customWidth="1"/>
  </cols>
  <sheetData>
    <row r="1" spans="1:25" x14ac:dyDescent="0.25">
      <c r="A1" s="217" t="s">
        <v>40</v>
      </c>
      <c r="B1" s="132" t="s">
        <v>2</v>
      </c>
      <c r="D1" s="99"/>
      <c r="E1" s="99"/>
      <c r="F1" s="99"/>
      <c r="G1" s="99"/>
      <c r="H1" s="99"/>
      <c r="I1" s="99"/>
      <c r="J1" s="99"/>
      <c r="K1" s="99"/>
      <c r="L1" s="99"/>
      <c r="M1" s="99"/>
      <c r="N1" s="99"/>
      <c r="O1" s="99"/>
      <c r="S1"/>
      <c r="T1"/>
      <c r="X1" s="101"/>
    </row>
    <row r="2" spans="1:25" ht="13.8" x14ac:dyDescent="0.25">
      <c r="A2" s="218" t="s">
        <v>136</v>
      </c>
      <c r="B2" s="35"/>
      <c r="D2" s="99"/>
      <c r="E2" s="78"/>
      <c r="F2" s="99"/>
      <c r="G2" s="99"/>
      <c r="H2" s="99"/>
      <c r="I2" s="78" t="s">
        <v>22</v>
      </c>
      <c r="J2" s="78"/>
      <c r="K2" s="78"/>
      <c r="L2" s="78"/>
      <c r="M2" s="78"/>
      <c r="N2" s="78"/>
      <c r="O2" s="78"/>
      <c r="P2" s="40" t="s">
        <v>137</v>
      </c>
      <c r="S2" s="36" t="s">
        <v>138</v>
      </c>
      <c r="X2" s="101"/>
    </row>
    <row r="3" spans="1:25" ht="13.8" thickBot="1" x14ac:dyDescent="0.3">
      <c r="A3" s="219"/>
      <c r="B3" s="3"/>
      <c r="C3" s="18"/>
      <c r="D3" s="18"/>
      <c r="E3" s="18"/>
      <c r="F3" s="18"/>
      <c r="G3" s="18"/>
      <c r="H3" s="18"/>
      <c r="I3" s="18"/>
      <c r="J3" s="18"/>
      <c r="K3" s="18"/>
      <c r="L3" s="18"/>
      <c r="M3" s="18"/>
      <c r="N3" s="18"/>
      <c r="O3" s="18"/>
      <c r="P3" s="18"/>
      <c r="Q3" s="18"/>
      <c r="R3" s="18"/>
      <c r="S3" s="3"/>
      <c r="T3" s="3"/>
      <c r="W3" s="3"/>
      <c r="X3" s="3"/>
      <c r="Y3" s="3"/>
    </row>
    <row r="4" spans="1:25" ht="13.8" thickTop="1" x14ac:dyDescent="0.25">
      <c r="A4" s="220"/>
      <c r="B4" s="187"/>
      <c r="C4" s="71" t="s">
        <v>13</v>
      </c>
      <c r="D4" s="106" t="s">
        <v>13</v>
      </c>
      <c r="E4" s="106" t="s">
        <v>13</v>
      </c>
      <c r="F4" s="106" t="s">
        <v>13</v>
      </c>
      <c r="G4" s="106" t="s">
        <v>13</v>
      </c>
      <c r="H4" s="65" t="s">
        <v>13</v>
      </c>
      <c r="I4" s="113" t="s">
        <v>13</v>
      </c>
      <c r="J4" s="113" t="s">
        <v>13</v>
      </c>
      <c r="K4" s="113" t="s">
        <v>12</v>
      </c>
      <c r="L4" s="113" t="s">
        <v>13</v>
      </c>
      <c r="M4" s="113" t="s">
        <v>12</v>
      </c>
      <c r="N4" s="113" t="s">
        <v>13</v>
      </c>
      <c r="O4" s="113" t="s">
        <v>12</v>
      </c>
      <c r="P4" s="65" t="s">
        <v>23</v>
      </c>
      <c r="Q4" s="53" t="s">
        <v>18</v>
      </c>
      <c r="R4" s="53" t="s">
        <v>18</v>
      </c>
      <c r="S4" s="128" t="s">
        <v>18</v>
      </c>
      <c r="T4" s="99"/>
      <c r="X4" s="101"/>
    </row>
    <row r="5" spans="1:25" x14ac:dyDescent="0.25">
      <c r="A5" s="221"/>
      <c r="B5" s="96"/>
      <c r="C5" s="70"/>
      <c r="D5" s="54"/>
      <c r="E5" s="66"/>
      <c r="F5" s="54"/>
      <c r="G5" s="54"/>
      <c r="H5" s="66"/>
      <c r="I5" s="114"/>
      <c r="J5" s="114"/>
      <c r="K5" s="114"/>
      <c r="L5" s="114"/>
      <c r="M5" s="114"/>
      <c r="N5" s="114"/>
      <c r="O5" s="114"/>
      <c r="P5" s="66" t="s">
        <v>24</v>
      </c>
      <c r="Q5" s="58" t="s">
        <v>25</v>
      </c>
      <c r="R5" s="58" t="s">
        <v>26</v>
      </c>
      <c r="S5" s="93" t="s">
        <v>27</v>
      </c>
      <c r="X5" s="101"/>
    </row>
    <row r="6" spans="1:25" x14ac:dyDescent="0.25">
      <c r="A6" s="221"/>
      <c r="B6" s="96"/>
      <c r="C6" s="70"/>
      <c r="D6" s="70"/>
      <c r="E6" s="70"/>
      <c r="F6" s="70"/>
      <c r="G6" s="70"/>
      <c r="H6" s="70"/>
      <c r="I6" s="58"/>
      <c r="J6" s="58"/>
      <c r="K6" s="58"/>
      <c r="L6" s="58"/>
      <c r="M6" s="58"/>
      <c r="N6" s="58"/>
      <c r="O6" s="58"/>
      <c r="P6" s="70"/>
      <c r="Q6" s="58" t="s">
        <v>28</v>
      </c>
      <c r="R6" s="58" t="s">
        <v>19</v>
      </c>
      <c r="S6" s="57" t="s">
        <v>29</v>
      </c>
      <c r="X6" s="101"/>
    </row>
    <row r="7" spans="1:25" ht="13.8" thickBot="1" x14ac:dyDescent="0.3">
      <c r="A7" s="222" t="s">
        <v>30</v>
      </c>
      <c r="B7" s="51"/>
      <c r="C7" s="115" t="s">
        <v>4</v>
      </c>
      <c r="D7" s="115" t="s">
        <v>5</v>
      </c>
      <c r="E7" s="5" t="s">
        <v>6</v>
      </c>
      <c r="F7" s="5" t="s">
        <v>15</v>
      </c>
      <c r="G7" s="5" t="s">
        <v>16</v>
      </c>
      <c r="H7" s="5" t="s">
        <v>7</v>
      </c>
      <c r="I7" s="5" t="s">
        <v>8</v>
      </c>
      <c r="J7" s="5" t="s">
        <v>17</v>
      </c>
      <c r="K7" s="5" t="s">
        <v>9</v>
      </c>
      <c r="L7" s="5" t="s">
        <v>9</v>
      </c>
      <c r="M7" s="5" t="s">
        <v>10</v>
      </c>
      <c r="N7" s="5" t="s">
        <v>10</v>
      </c>
      <c r="O7" s="5" t="s">
        <v>11</v>
      </c>
      <c r="P7" s="76">
        <v>44926</v>
      </c>
      <c r="Q7" s="5" t="s">
        <v>31</v>
      </c>
      <c r="R7" s="5"/>
      <c r="S7" s="5" t="s">
        <v>19</v>
      </c>
      <c r="X7" s="101"/>
    </row>
    <row r="8" spans="1:25" ht="13.8" thickTop="1" x14ac:dyDescent="0.25">
      <c r="A8" s="223"/>
      <c r="B8" s="90"/>
      <c r="C8" s="75"/>
      <c r="D8" s="13"/>
      <c r="E8" s="13"/>
      <c r="F8" s="13"/>
      <c r="G8" s="13"/>
      <c r="H8" s="13"/>
      <c r="I8" s="14"/>
      <c r="J8" s="14"/>
      <c r="K8" s="14"/>
      <c r="L8" s="14"/>
      <c r="M8" s="14"/>
      <c r="N8" s="14"/>
      <c r="O8" s="14"/>
      <c r="P8" s="13"/>
      <c r="Q8" s="14"/>
      <c r="R8" s="14"/>
      <c r="S8" s="14"/>
      <c r="X8" s="101"/>
    </row>
    <row r="9" spans="1:25" x14ac:dyDescent="0.25">
      <c r="A9" s="224">
        <v>5112</v>
      </c>
      <c r="B9" s="42" t="s">
        <v>139</v>
      </c>
      <c r="C9" s="73">
        <f>+'192 Public Bldgs'!C9+'422 Maintenance'!C9+'652 Parks'!C9</f>
        <v>650432.08000000007</v>
      </c>
      <c r="D9" s="8">
        <f>+'192 Public Bldgs'!D9+'422 Maintenance'!D9+'652 Parks'!D9</f>
        <v>699937.45999999985</v>
      </c>
      <c r="E9" s="8">
        <f>+'192 Public Bldgs'!E9+'422 Maintenance'!E9+'652 Parks'!E9</f>
        <v>694793.07000000007</v>
      </c>
      <c r="F9" s="8">
        <f>+'192 Public Bldgs'!F9+'422 Maintenance'!F9+'652 Parks'!F9</f>
        <v>721817.33</v>
      </c>
      <c r="G9" s="8">
        <f>+'192 Public Bldgs'!G9+'422 Maintenance'!G9+'652 Parks'!G9</f>
        <v>773672.43</v>
      </c>
      <c r="H9" s="8">
        <f>+'192 Public Bldgs'!H9+'422 Maintenance'!H9+'652 Parks'!H9</f>
        <v>808516.96</v>
      </c>
      <c r="I9" s="8">
        <f>+'192 Public Bldgs'!I9+'422 Maintenance'!I9+'652 Parks'!I9</f>
        <v>819356.52</v>
      </c>
      <c r="J9" s="8">
        <f>+'192 Public Bldgs'!J9+'422 Maintenance'!J9+'652 Parks'!J9</f>
        <v>876217.06</v>
      </c>
      <c r="K9" s="32">
        <f>+'192 Public Bldgs'!K9+'422 Maintenance'!K9+'652 Parks'!K9</f>
        <v>923808</v>
      </c>
      <c r="L9" s="8">
        <f>+'192 Public Bldgs'!L9+'422 Maintenance'!L9+'652 Parks'!L9</f>
        <v>891930.96000000008</v>
      </c>
      <c r="M9" s="32">
        <f>+'192 Public Bldgs'!M9+'422 Maintenance'!M9+'652 Parks'!M9</f>
        <v>949883</v>
      </c>
      <c r="N9" s="8">
        <f>+'192 Public Bldgs'!N9+'422 Maintenance'!N9+'652 Parks'!N9</f>
        <v>889472.04</v>
      </c>
      <c r="O9" s="32">
        <f>+'192 Public Bldgs'!O9+'422 Maintenance'!O9+'652 Parks'!O9</f>
        <v>973039</v>
      </c>
      <c r="P9" s="8">
        <f>+'192 Public Bldgs'!P9+'422 Maintenance'!P9+'652 Parks'!P9</f>
        <v>450502.35000000003</v>
      </c>
      <c r="Q9" s="32">
        <f>+'192 Public Bldgs'!Q9+'422 Maintenance'!Q9+'652 Parks'!Q9</f>
        <v>1058597.8</v>
      </c>
      <c r="R9" s="32">
        <f>+'192 Public Bldgs'!R9+'422 Maintenance'!R9+'652 Parks'!R9</f>
        <v>0</v>
      </c>
      <c r="S9" s="32">
        <f>+'192 Public Bldgs'!S9+'422 Maintenance'!S9+'652 Parks'!S9</f>
        <v>0</v>
      </c>
      <c r="X9" s="101"/>
    </row>
    <row r="10" spans="1:25" x14ac:dyDescent="0.25">
      <c r="A10" s="224">
        <v>5124</v>
      </c>
      <c r="B10" s="42" t="s">
        <v>140</v>
      </c>
      <c r="C10" s="73">
        <f>+'652 Parks'!C10</f>
        <v>4630</v>
      </c>
      <c r="D10" s="8">
        <f>+'652 Parks'!D10</f>
        <v>4240.57</v>
      </c>
      <c r="E10" s="8">
        <f>+'652 Parks'!E10</f>
        <v>3855</v>
      </c>
      <c r="F10" s="8">
        <f>+'652 Parks'!F10</f>
        <v>5060</v>
      </c>
      <c r="G10" s="8">
        <f>+'652 Parks'!G10</f>
        <v>3335</v>
      </c>
      <c r="H10" s="8">
        <f>+'652 Parks'!H10</f>
        <v>4303.75</v>
      </c>
      <c r="I10" s="8">
        <f>+'652 Parks'!I10</f>
        <v>3720</v>
      </c>
      <c r="J10" s="8">
        <f>+'652 Parks'!J10</f>
        <v>9017.6299999999992</v>
      </c>
      <c r="K10" s="32">
        <f>+'652 Parks'!K10</f>
        <v>6000</v>
      </c>
      <c r="L10" s="8">
        <f>+'652 Parks'!L10</f>
        <v>9774.94</v>
      </c>
      <c r="M10" s="32">
        <f>+'652 Parks'!M10</f>
        <v>12000</v>
      </c>
      <c r="N10" s="8">
        <f>+'652 Parks'!N10</f>
        <v>9792.3799999999992</v>
      </c>
      <c r="O10" s="32">
        <f>+'652 Parks'!O10</f>
        <v>19000</v>
      </c>
      <c r="P10" s="8">
        <f>+'652 Parks'!P10</f>
        <v>3562.5</v>
      </c>
      <c r="Q10" s="32">
        <f>+'652 Parks'!Q10+P91+P92+P93</f>
        <v>43200</v>
      </c>
      <c r="R10" s="32">
        <f>+'652 Parks'!R10</f>
        <v>0</v>
      </c>
      <c r="S10" s="32">
        <f>+'652 Parks'!S10</f>
        <v>0</v>
      </c>
      <c r="X10" s="101"/>
    </row>
    <row r="11" spans="1:25" x14ac:dyDescent="0.25">
      <c r="A11" s="224">
        <v>5132</v>
      </c>
      <c r="B11" s="42" t="s">
        <v>141</v>
      </c>
      <c r="C11" s="73">
        <f>+'192 Public Bldgs'!C10+'422 Maintenance'!C10+'652 Parks'!C11</f>
        <v>12576.779999999999</v>
      </c>
      <c r="D11" s="8">
        <f>+'192 Public Bldgs'!D10+'422 Maintenance'!D10+'652 Parks'!D11</f>
        <v>11853.079999999998</v>
      </c>
      <c r="E11" s="8">
        <f>+'192 Public Bldgs'!E10+'422 Maintenance'!E10+'652 Parks'!E11</f>
        <v>7958.420000000001</v>
      </c>
      <c r="F11" s="8">
        <f>+'192 Public Bldgs'!F10+'422 Maintenance'!F10+'652 Parks'!F11</f>
        <v>7922.45</v>
      </c>
      <c r="G11" s="8">
        <f>+'192 Public Bldgs'!G10+'422 Maintenance'!G10+'652 Parks'!G11</f>
        <v>9747.4700000000012</v>
      </c>
      <c r="H11" s="8">
        <f>+'192 Public Bldgs'!H10+'422 Maintenance'!H10+'652 Parks'!H11</f>
        <v>8182.2099999999991</v>
      </c>
      <c r="I11" s="8">
        <f>+'192 Public Bldgs'!I10+'422 Maintenance'!I10+'652 Parks'!I11</f>
        <v>14364.1</v>
      </c>
      <c r="J11" s="8">
        <f>+'192 Public Bldgs'!J10+'422 Maintenance'!J10+'652 Parks'!J11</f>
        <v>14736.5</v>
      </c>
      <c r="K11" s="32">
        <f>+'192 Public Bldgs'!K10+'422 Maintenance'!K10+'652 Parks'!K11</f>
        <v>18000</v>
      </c>
      <c r="L11" s="8">
        <f>+'192 Public Bldgs'!L10+'422 Maintenance'!L10+'652 Parks'!L11</f>
        <v>25531.620000000003</v>
      </c>
      <c r="M11" s="32">
        <f>+'192 Public Bldgs'!M10+'422 Maintenance'!M10+'652 Parks'!M11</f>
        <v>22000</v>
      </c>
      <c r="N11" s="8">
        <f>+'192 Public Bldgs'!N10+'422 Maintenance'!N10+'652 Parks'!N11</f>
        <v>23580.43</v>
      </c>
      <c r="O11" s="32">
        <f>+'192 Public Bldgs'!O10+'422 Maintenance'!O10+'652 Parks'!O11</f>
        <v>22500</v>
      </c>
      <c r="P11" s="8">
        <f>+'192 Public Bldgs'!P10+'422 Maintenance'!P10+'652 Parks'!P11</f>
        <v>10992.440000000002</v>
      </c>
      <c r="Q11" s="32">
        <f>+'192 Public Bldgs'!Q10+'422 Maintenance'!Q10+'652 Parks'!Q11</f>
        <v>25000</v>
      </c>
      <c r="R11" s="32">
        <f>+'192 Public Bldgs'!R10+'422 Maintenance'!R10+'652 Parks'!R11</f>
        <v>0</v>
      </c>
      <c r="S11" s="32">
        <f>+'192 Public Bldgs'!S10+'422 Maintenance'!S10+'652 Parks'!S11</f>
        <v>0</v>
      </c>
      <c r="X11" s="101"/>
    </row>
    <row r="12" spans="1:25" x14ac:dyDescent="0.25">
      <c r="A12" s="224">
        <v>5142</v>
      </c>
      <c r="B12" s="42" t="s">
        <v>127</v>
      </c>
      <c r="C12" s="73">
        <f>+'422 Maintenance'!C11+'652 Parks'!C12+'192 Public Bldgs'!C11</f>
        <v>5871.95</v>
      </c>
      <c r="D12" s="8">
        <f>+'422 Maintenance'!D11+'652 Parks'!D12+'192 Public Bldgs'!D11</f>
        <v>6242.7900000000009</v>
      </c>
      <c r="E12" s="8">
        <f>+'422 Maintenance'!E11+'652 Parks'!E12+'192 Public Bldgs'!E11</f>
        <v>6305.43</v>
      </c>
      <c r="F12" s="8">
        <f>+'422 Maintenance'!F11+'652 Parks'!F12+'192 Public Bldgs'!F11</f>
        <v>6277.31</v>
      </c>
      <c r="G12" s="8">
        <f>+'422 Maintenance'!G11+'652 Parks'!G12+'192 Public Bldgs'!G11</f>
        <v>7745.86</v>
      </c>
      <c r="H12" s="8">
        <f>+'422 Maintenance'!H11+'652 Parks'!H12+'192 Public Bldgs'!H11</f>
        <v>10630.82</v>
      </c>
      <c r="I12" s="8">
        <f>+'422 Maintenance'!I11+'652 Parks'!I12+'192 Public Bldgs'!I11</f>
        <v>11139.42</v>
      </c>
      <c r="J12" s="8">
        <f>+'422 Maintenance'!J11+'652 Parks'!J12+'192 Public Bldgs'!J11</f>
        <v>13959.15</v>
      </c>
      <c r="K12" s="32">
        <f>+'422 Maintenance'!K11+'652 Parks'!K12+'192 Public Bldgs'!K11</f>
        <v>15250</v>
      </c>
      <c r="L12" s="8">
        <f>+'422 Maintenance'!L11+'652 Parks'!L12+'192 Public Bldgs'!L11</f>
        <v>14013.01</v>
      </c>
      <c r="M12" s="32">
        <f>+'422 Maintenance'!M11+'652 Parks'!M12+'192 Public Bldgs'!M11</f>
        <v>18250</v>
      </c>
      <c r="N12" s="8">
        <f>+'422 Maintenance'!N11+'652 Parks'!N12+'192 Public Bldgs'!N11</f>
        <v>14367.25</v>
      </c>
      <c r="O12" s="32">
        <f>+'422 Maintenance'!O11+'652 Parks'!O12+'192 Public Bldgs'!O11</f>
        <v>20490</v>
      </c>
      <c r="P12" s="8">
        <f>+'422 Maintenance'!P11+'652 Parks'!P12+'192 Public Bldgs'!P11</f>
        <v>10578.25</v>
      </c>
      <c r="Q12" s="32">
        <f>+'422 Maintenance'!Q11+'652 Parks'!Q12+'192 Public Bldgs'!Q11</f>
        <v>16975</v>
      </c>
      <c r="R12" s="32">
        <f>+'422 Maintenance'!R11+'652 Parks'!R12+'192 Public Bldgs'!R11</f>
        <v>0</v>
      </c>
      <c r="S12" s="32">
        <f>+'422 Maintenance'!S11+'652 Parks'!S12+'192 Public Bldgs'!S11</f>
        <v>0</v>
      </c>
      <c r="X12" s="101"/>
    </row>
    <row r="13" spans="1:25" x14ac:dyDescent="0.25">
      <c r="A13" s="224">
        <v>5144</v>
      </c>
      <c r="B13" s="42" t="s">
        <v>0</v>
      </c>
      <c r="C13" s="73">
        <f>+'422 Maintenance'!C12</f>
        <v>2600</v>
      </c>
      <c r="D13" s="8">
        <f>+'422 Maintenance'!D12</f>
        <v>3750</v>
      </c>
      <c r="E13" s="8">
        <f>+'422 Maintenance'!E12</f>
        <v>3000</v>
      </c>
      <c r="F13" s="8">
        <f>+'422 Maintenance'!F12</f>
        <v>2200</v>
      </c>
      <c r="G13" s="8">
        <f>+'422 Maintenance'!G12</f>
        <v>4140</v>
      </c>
      <c r="H13" s="8">
        <f>+'422 Maintenance'!H12</f>
        <v>3620</v>
      </c>
      <c r="I13" s="8">
        <f>+'422 Maintenance'!I12</f>
        <v>3640</v>
      </c>
      <c r="J13" s="8">
        <f>+'422 Maintenance'!J12</f>
        <v>3400</v>
      </c>
      <c r="K13" s="32">
        <f>+'422 Maintenance'!K12</f>
        <v>3000</v>
      </c>
      <c r="L13" s="8">
        <f>+'422 Maintenance'!L12</f>
        <v>2000</v>
      </c>
      <c r="M13" s="32">
        <f>+'422 Maintenance'!M12</f>
        <v>3600</v>
      </c>
      <c r="N13" s="8">
        <f>+'422 Maintenance'!N12</f>
        <v>1700</v>
      </c>
      <c r="O13" s="32">
        <f>+'422 Maintenance'!O12</f>
        <v>2100</v>
      </c>
      <c r="P13" s="8">
        <f>+'422 Maintenance'!P12</f>
        <v>600</v>
      </c>
      <c r="Q13" s="32">
        <f>+'422 Maintenance'!Q12</f>
        <v>3700</v>
      </c>
      <c r="R13" s="32">
        <f>+'422 Maintenance'!R12</f>
        <v>0</v>
      </c>
      <c r="S13" s="32">
        <f>+'422 Maintenance'!S12</f>
        <v>0</v>
      </c>
      <c r="X13" s="101"/>
    </row>
    <row r="14" spans="1:25" x14ac:dyDescent="0.25">
      <c r="A14" s="224">
        <v>5144</v>
      </c>
      <c r="B14" s="42" t="s">
        <v>128</v>
      </c>
      <c r="C14" s="73">
        <f>+'422 Maintenance'!C13</f>
        <v>600.08000000000004</v>
      </c>
      <c r="D14" s="8">
        <f>+'422 Maintenance'!D13</f>
        <v>842.42</v>
      </c>
      <c r="E14" s="8">
        <f>+'422 Maintenance'!E13</f>
        <v>1200.1600000000001</v>
      </c>
      <c r="F14" s="8">
        <f>+'422 Maintenance'!F13</f>
        <v>1223.24</v>
      </c>
      <c r="G14" s="8">
        <f>+'422 Maintenance'!G13</f>
        <v>1119.3800000000001</v>
      </c>
      <c r="H14" s="8">
        <f>+'422 Maintenance'!H13</f>
        <v>946.28</v>
      </c>
      <c r="I14" s="8">
        <f>+'422 Maintenance'!I13</f>
        <v>1488.66</v>
      </c>
      <c r="J14" s="8">
        <f>+'422 Maintenance'!J13</f>
        <v>1500.2</v>
      </c>
      <c r="K14" s="32">
        <f>+'422 Maintenance'!K13</f>
        <v>1525</v>
      </c>
      <c r="L14" s="8">
        <f>+'422 Maintenance'!L13</f>
        <v>1529.05</v>
      </c>
      <c r="M14" s="32">
        <f>+'422 Maintenance'!M13</f>
        <v>1525</v>
      </c>
      <c r="N14" s="8">
        <f>+'422 Maintenance'!N13</f>
        <v>1217.47</v>
      </c>
      <c r="O14" s="32">
        <f>+'422 Maintenance'!O13</f>
        <v>1525</v>
      </c>
      <c r="P14" s="8">
        <f>+'422 Maintenance'!P13</f>
        <v>375.05</v>
      </c>
      <c r="Q14" s="32">
        <f>+'422 Maintenance'!Q13</f>
        <v>1525</v>
      </c>
      <c r="R14" s="32">
        <f>+'422 Maintenance'!R13</f>
        <v>0</v>
      </c>
      <c r="S14" s="32">
        <f>+'422 Maintenance'!S13</f>
        <v>0</v>
      </c>
      <c r="X14" s="101"/>
    </row>
    <row r="15" spans="1:25" x14ac:dyDescent="0.25">
      <c r="A15" s="224">
        <v>5193</v>
      </c>
      <c r="B15" s="42" t="s">
        <v>59</v>
      </c>
      <c r="C15" s="73"/>
      <c r="D15" s="8">
        <f>+'422 Maintenance'!D14</f>
        <v>0</v>
      </c>
      <c r="E15" s="8">
        <f>+'422 Maintenance'!E14</f>
        <v>9799.56</v>
      </c>
      <c r="F15" s="8">
        <f>+'422 Maintenance'!F14</f>
        <v>0</v>
      </c>
      <c r="G15" s="8">
        <f>+'422 Maintenance'!G14</f>
        <v>2150.5</v>
      </c>
      <c r="H15" s="8">
        <f>+'422 Maintenance'!H14</f>
        <v>4111.34</v>
      </c>
      <c r="I15" s="8">
        <f>+'422 Maintenance'!I14</f>
        <v>8358</v>
      </c>
      <c r="J15" s="8">
        <f>+'422 Maintenance'!J14</f>
        <v>5172.6400000000003</v>
      </c>
      <c r="K15" s="32">
        <f>+'422 Maintenance'!K14</f>
        <v>0</v>
      </c>
      <c r="L15" s="8">
        <f>+'422 Maintenance'!L14</f>
        <v>1303.8</v>
      </c>
      <c r="M15" s="32">
        <f>+'422 Maintenance'!M14</f>
        <v>11292</v>
      </c>
      <c r="N15" s="8">
        <f>+'422 Maintenance'!N14</f>
        <v>21174.18</v>
      </c>
      <c r="O15" s="32">
        <f>+'422 Maintenance'!O14</f>
        <v>0</v>
      </c>
      <c r="P15" s="8">
        <f>+'422 Maintenance'!P14</f>
        <v>854.8</v>
      </c>
      <c r="Q15" s="32">
        <f>+'422 Maintenance'!Q14</f>
        <v>0</v>
      </c>
      <c r="R15" s="32">
        <f>+'422 Maintenance'!R14</f>
        <v>0</v>
      </c>
      <c r="S15" s="32">
        <f>+'422 Maintenance'!S14</f>
        <v>0</v>
      </c>
      <c r="X15" s="101"/>
    </row>
    <row r="16" spans="1:25" ht="13.8" thickBot="1" x14ac:dyDescent="0.3">
      <c r="A16" s="224">
        <v>5194</v>
      </c>
      <c r="B16" s="42" t="s">
        <v>60</v>
      </c>
      <c r="C16" s="205">
        <f>+'422 Maintenance'!C15</f>
        <v>0</v>
      </c>
      <c r="D16" s="29">
        <f>+'422 Maintenance'!D15</f>
        <v>0</v>
      </c>
      <c r="E16" s="29">
        <f>+'422 Maintenance'!E15</f>
        <v>5134.3</v>
      </c>
      <c r="F16" s="29">
        <f>+'422 Maintenance'!F15</f>
        <v>0</v>
      </c>
      <c r="G16" s="29">
        <f>+'422 Maintenance'!G15</f>
        <v>1553.75</v>
      </c>
      <c r="H16" s="29">
        <f>+'422 Maintenance'!H15</f>
        <v>7000</v>
      </c>
      <c r="I16" s="29">
        <f>+'422 Maintenance'!I15</f>
        <v>3500</v>
      </c>
      <c r="J16" s="29">
        <f>+'422 Maintenance'!J15</f>
        <v>709.2</v>
      </c>
      <c r="K16" s="92">
        <f>+'422 Maintenance'!K15</f>
        <v>0</v>
      </c>
      <c r="L16" s="29">
        <f>+'422 Maintenance'!L15</f>
        <v>0</v>
      </c>
      <c r="M16" s="92">
        <f>+'422 Maintenance'!M15</f>
        <v>4200</v>
      </c>
      <c r="N16" s="29">
        <f>+'422 Maintenance'!N15</f>
        <v>4791.7299999999996</v>
      </c>
      <c r="O16" s="92">
        <f>+'422 Maintenance'!O15</f>
        <v>0</v>
      </c>
      <c r="P16" s="29">
        <f>+'422 Maintenance'!P15</f>
        <v>0</v>
      </c>
      <c r="Q16" s="92">
        <f>+'422 Maintenance'!Q15</f>
        <v>0</v>
      </c>
      <c r="R16" s="92">
        <f>+'422 Maintenance'!R15</f>
        <v>0</v>
      </c>
      <c r="S16" s="92">
        <f>+'422 Maintenance'!S15</f>
        <v>0</v>
      </c>
      <c r="X16" s="101"/>
    </row>
    <row r="17" spans="1:19" x14ac:dyDescent="0.25">
      <c r="A17" s="224"/>
      <c r="B17" s="43" t="s">
        <v>32</v>
      </c>
      <c r="C17" s="75">
        <f t="shared" ref="C17:Q17" si="0">SUM(C9:C16)</f>
        <v>676710.89</v>
      </c>
      <c r="D17" s="13">
        <f t="shared" si="0"/>
        <v>726866.31999999983</v>
      </c>
      <c r="E17" s="13">
        <f t="shared" ref="E17:K17" si="1">SUM(E9:E16)</f>
        <v>732045.94000000029</v>
      </c>
      <c r="F17" s="13">
        <f t="shared" si="1"/>
        <v>744500.33</v>
      </c>
      <c r="G17" s="13">
        <f t="shared" si="1"/>
        <v>803464.39</v>
      </c>
      <c r="H17" s="13">
        <f t="shared" si="1"/>
        <v>847311.35999999987</v>
      </c>
      <c r="I17" s="13">
        <f t="shared" si="1"/>
        <v>865566.70000000007</v>
      </c>
      <c r="J17" s="13">
        <f t="shared" ref="J17" si="2">SUM(J9:J16)</f>
        <v>924712.38</v>
      </c>
      <c r="K17" s="26">
        <f t="shared" si="1"/>
        <v>967583</v>
      </c>
      <c r="L17" s="13">
        <f t="shared" ref="L17:O17" si="3">SUM(L9:L16)</f>
        <v>946083.38000000012</v>
      </c>
      <c r="M17" s="26">
        <f t="shared" si="3"/>
        <v>1022750</v>
      </c>
      <c r="N17" s="13">
        <f t="shared" ref="N17" si="4">SUM(N9:N16)</f>
        <v>966095.4800000001</v>
      </c>
      <c r="O17" s="26">
        <f t="shared" si="3"/>
        <v>1038654</v>
      </c>
      <c r="P17" s="13">
        <f t="shared" si="0"/>
        <v>477465.39</v>
      </c>
      <c r="Q17" s="26">
        <f t="shared" si="0"/>
        <v>1148997.8</v>
      </c>
      <c r="R17" s="26">
        <f>+Q17</f>
        <v>1148997.8</v>
      </c>
      <c r="S17" s="26">
        <f>+Q17</f>
        <v>1148997.8</v>
      </c>
    </row>
    <row r="18" spans="1:19" x14ac:dyDescent="0.25">
      <c r="A18" s="224"/>
      <c r="B18" s="42"/>
      <c r="C18" s="73"/>
      <c r="D18" s="8"/>
      <c r="E18" s="8"/>
      <c r="F18" s="8"/>
      <c r="G18" s="8"/>
      <c r="H18" s="8"/>
      <c r="I18" s="8"/>
      <c r="J18" s="8"/>
      <c r="K18" s="32"/>
      <c r="L18" s="8"/>
      <c r="M18" s="32"/>
      <c r="N18" s="8"/>
      <c r="O18" s="32"/>
      <c r="P18" s="8"/>
      <c r="Q18" s="32"/>
      <c r="R18" s="32"/>
      <c r="S18" s="32"/>
    </row>
    <row r="19" spans="1:19" x14ac:dyDescent="0.25">
      <c r="A19" s="224">
        <v>5241</v>
      </c>
      <c r="B19" s="7" t="s">
        <v>142</v>
      </c>
      <c r="C19" s="60">
        <f>+'192 Public Bldgs'!C14</f>
        <v>0</v>
      </c>
      <c r="D19" s="60">
        <f>+'192 Public Bldgs'!D14</f>
        <v>0</v>
      </c>
      <c r="E19" s="60">
        <f>+'192 Public Bldgs'!E14</f>
        <v>2228</v>
      </c>
      <c r="F19" s="60">
        <f>+'192 Public Bldgs'!F14</f>
        <v>2295</v>
      </c>
      <c r="G19" s="60">
        <f>+'192 Public Bldgs'!G14</f>
        <v>2364</v>
      </c>
      <c r="H19" s="60">
        <f>+'192 Public Bldgs'!H14</f>
        <v>2434</v>
      </c>
      <c r="I19" s="60">
        <f>+'192 Public Bldgs'!I14</f>
        <v>2508</v>
      </c>
      <c r="J19" s="60">
        <f>+'192 Public Bldgs'!J14</f>
        <v>2583</v>
      </c>
      <c r="K19" s="34">
        <f>+'192 Public Bldgs'!K14</f>
        <v>3000</v>
      </c>
      <c r="L19" s="60">
        <f>+'192 Public Bldgs'!L14</f>
        <v>2660</v>
      </c>
      <c r="M19" s="34">
        <f>+'192 Public Bldgs'!M14</f>
        <v>3000</v>
      </c>
      <c r="N19" s="60">
        <f>+'192 Public Bldgs'!N14</f>
        <v>2740</v>
      </c>
      <c r="O19" s="34">
        <f>+'192 Public Bldgs'!O14</f>
        <v>3000</v>
      </c>
      <c r="P19" s="34">
        <f>+'192 Public Bldgs'!P14</f>
        <v>2822</v>
      </c>
      <c r="Q19" s="34">
        <f>+'192 Public Bldgs'!Q14</f>
        <v>3000</v>
      </c>
      <c r="R19" s="34">
        <f>+'192 Public Bldgs'!R14</f>
        <v>0</v>
      </c>
      <c r="S19" s="32">
        <f>+'192 Public Bldgs'!S14</f>
        <v>0</v>
      </c>
    </row>
    <row r="20" spans="1:19" x14ac:dyDescent="0.25">
      <c r="A20" s="224">
        <v>5242</v>
      </c>
      <c r="B20" s="7" t="s">
        <v>143</v>
      </c>
      <c r="C20" s="60">
        <f>+'192 Public Bldgs'!C15+'422 Maintenance'!C18</f>
        <v>12678.44</v>
      </c>
      <c r="D20" s="60">
        <f>+'192 Public Bldgs'!D15+'422 Maintenance'!D18</f>
        <v>15899.46</v>
      </c>
      <c r="E20" s="60">
        <f>+'192 Public Bldgs'!E15+'422 Maintenance'!E18</f>
        <v>22272.13</v>
      </c>
      <c r="F20" s="60">
        <f>+'192 Public Bldgs'!F15+'422 Maintenance'!F18</f>
        <v>13187.52</v>
      </c>
      <c r="G20" s="60">
        <f>+'192 Public Bldgs'!G15+'422 Maintenance'!G18</f>
        <v>14585.18</v>
      </c>
      <c r="H20" s="60">
        <f>+'192 Public Bldgs'!H15+'422 Maintenance'!H18</f>
        <v>14071.66</v>
      </c>
      <c r="I20" s="60">
        <f>+'192 Public Bldgs'!I15+'422 Maintenance'!I18</f>
        <v>16599.11</v>
      </c>
      <c r="J20" s="60">
        <f>+'192 Public Bldgs'!J15+'422 Maintenance'!J18</f>
        <v>18229.580000000002</v>
      </c>
      <c r="K20" s="34">
        <f>+'192 Public Bldgs'!K15+'422 Maintenance'!K18</f>
        <v>19500</v>
      </c>
      <c r="L20" s="60">
        <f>+'192 Public Bldgs'!L15+'422 Maintenance'!L18</f>
        <v>23649.11</v>
      </c>
      <c r="M20" s="34">
        <f>+'192 Public Bldgs'!M15+'422 Maintenance'!M18</f>
        <v>21500</v>
      </c>
      <c r="N20" s="60">
        <f>+'192 Public Bldgs'!N15+'422 Maintenance'!N18</f>
        <v>25826.159999999996</v>
      </c>
      <c r="O20" s="34">
        <f>+'192 Public Bldgs'!O15+'422 Maintenance'!O18</f>
        <v>25100</v>
      </c>
      <c r="P20" s="60">
        <f>+'192 Public Bldgs'!P15+'422 Maintenance'!P18</f>
        <v>7716.37</v>
      </c>
      <c r="Q20" s="34">
        <f>+'192 Public Bldgs'!Q15+'422 Maintenance'!Q18</f>
        <v>25100</v>
      </c>
      <c r="R20" s="34">
        <f>+'192 Public Bldgs'!R15+'422 Maintenance'!R18</f>
        <v>0</v>
      </c>
      <c r="S20" s="32">
        <f>+'192 Public Bldgs'!S15+'422 Maintenance'!S18</f>
        <v>0</v>
      </c>
    </row>
    <row r="21" spans="1:19" x14ac:dyDescent="0.25">
      <c r="A21" s="224">
        <v>5243</v>
      </c>
      <c r="B21" s="7" t="s">
        <v>144</v>
      </c>
      <c r="C21" s="8">
        <f>+'192 Public Bldgs'!C16</f>
        <v>15167.36</v>
      </c>
      <c r="D21" s="8">
        <f>+'192 Public Bldgs'!D16</f>
        <v>12103.44</v>
      </c>
      <c r="E21" s="8">
        <f>+'192 Public Bldgs'!E16</f>
        <v>42549.06</v>
      </c>
      <c r="F21" s="8">
        <f>+'192 Public Bldgs'!F16</f>
        <v>23614.560000000001</v>
      </c>
      <c r="G21" s="8">
        <f>+'192 Public Bldgs'!G16</f>
        <v>31462.560000000001</v>
      </c>
      <c r="H21" s="8">
        <f>+'192 Public Bldgs'!H16</f>
        <v>20342.38</v>
      </c>
      <c r="I21" s="8">
        <f>+'192 Public Bldgs'!I16</f>
        <v>33925.94</v>
      </c>
      <c r="J21" s="8">
        <f>+'192 Public Bldgs'!J16</f>
        <v>27147.34</v>
      </c>
      <c r="K21" s="32">
        <f>+'192 Public Bldgs'!K16</f>
        <v>25000</v>
      </c>
      <c r="L21" s="8">
        <f>+'192 Public Bldgs'!L16</f>
        <v>15937.72</v>
      </c>
      <c r="M21" s="32">
        <f>+'192 Public Bldgs'!M16</f>
        <v>25000</v>
      </c>
      <c r="N21" s="8">
        <f>+'192 Public Bldgs'!N16</f>
        <v>19355.099999999999</v>
      </c>
      <c r="O21" s="32">
        <f>+'192 Public Bldgs'!O16</f>
        <v>25000</v>
      </c>
      <c r="P21" s="8">
        <f>+'192 Public Bldgs'!P16</f>
        <v>1382</v>
      </c>
      <c r="Q21" s="32">
        <f>+'192 Public Bldgs'!Q16</f>
        <v>25000</v>
      </c>
      <c r="R21" s="32">
        <f>+'192 Public Bldgs'!R16</f>
        <v>0</v>
      </c>
      <c r="S21" s="32">
        <f>+'192 Public Bldgs'!S16</f>
        <v>0</v>
      </c>
    </row>
    <row r="22" spans="1:19" x14ac:dyDescent="0.25">
      <c r="A22" s="224">
        <v>5245</v>
      </c>
      <c r="B22" s="7" t="s">
        <v>145</v>
      </c>
      <c r="C22" s="8">
        <f>+'422 Maintenance'!C19</f>
        <v>15640.85</v>
      </c>
      <c r="D22" s="8">
        <f>+'422 Maintenance'!D19</f>
        <v>20923.13</v>
      </c>
      <c r="E22" s="8">
        <f>+'422 Maintenance'!E19</f>
        <v>22296.94</v>
      </c>
      <c r="F22" s="8">
        <f>+'422 Maintenance'!F19</f>
        <v>34754.76</v>
      </c>
      <c r="G22" s="8">
        <f>+'422 Maintenance'!G19</f>
        <v>23394.59</v>
      </c>
      <c r="H22" s="8">
        <f>+'422 Maintenance'!H19</f>
        <v>24713.51</v>
      </c>
      <c r="I22" s="8">
        <f>+'422 Maintenance'!I19</f>
        <v>17661.330000000002</v>
      </c>
      <c r="J22" s="8">
        <f>+'422 Maintenance'!J19</f>
        <v>27018.75</v>
      </c>
      <c r="K22" s="32">
        <f>+'422 Maintenance'!K19</f>
        <v>30000</v>
      </c>
      <c r="L22" s="8">
        <f>+'422 Maintenance'!L19</f>
        <v>28032.21</v>
      </c>
      <c r="M22" s="32">
        <f>+'422 Maintenance'!M19</f>
        <v>35000</v>
      </c>
      <c r="N22" s="8">
        <f>+'422 Maintenance'!N19</f>
        <v>20669.34</v>
      </c>
      <c r="O22" s="32">
        <f>+'422 Maintenance'!O19</f>
        <v>35000</v>
      </c>
      <c r="P22" s="8">
        <f>+'422 Maintenance'!P19</f>
        <v>4538.92</v>
      </c>
      <c r="Q22" s="32">
        <f>+'422 Maintenance'!Q19</f>
        <v>35000</v>
      </c>
      <c r="R22" s="32">
        <f>+'422 Maintenance'!R19</f>
        <v>0</v>
      </c>
      <c r="S22" s="32">
        <f>+'422 Maintenance'!S19</f>
        <v>0</v>
      </c>
    </row>
    <row r="23" spans="1:19" x14ac:dyDescent="0.25">
      <c r="A23" s="224">
        <v>5247</v>
      </c>
      <c r="B23" s="7" t="s">
        <v>146</v>
      </c>
      <c r="C23" s="8">
        <f>+'422 Maintenance'!C20</f>
        <v>0</v>
      </c>
      <c r="D23" s="8">
        <f>+'422 Maintenance'!D20</f>
        <v>0</v>
      </c>
      <c r="E23" s="8">
        <f>+'422 Maintenance'!E20</f>
        <v>503.29</v>
      </c>
      <c r="F23" s="8">
        <f>+'422 Maintenance'!F20</f>
        <v>88</v>
      </c>
      <c r="G23" s="8">
        <f>+'422 Maintenance'!G20</f>
        <v>0</v>
      </c>
      <c r="H23" s="8">
        <f>+'422 Maintenance'!H20</f>
        <v>264</v>
      </c>
      <c r="I23" s="8">
        <f>+'422 Maintenance'!I20</f>
        <v>0</v>
      </c>
      <c r="J23" s="8">
        <f>+'422 Maintenance'!J20</f>
        <v>88</v>
      </c>
      <c r="K23" s="32">
        <f>+'422 Maintenance'!K20</f>
        <v>4200</v>
      </c>
      <c r="L23" s="8">
        <f>+'422 Maintenance'!L20</f>
        <v>0</v>
      </c>
      <c r="M23" s="32">
        <f>+'422 Maintenance'!M20</f>
        <v>4200</v>
      </c>
      <c r="N23" s="8">
        <f>+'422 Maintenance'!N20</f>
        <v>608.99</v>
      </c>
      <c r="O23" s="32">
        <f>+'422 Maintenance'!O20</f>
        <v>2000</v>
      </c>
      <c r="P23" s="8">
        <f>+'422 Maintenance'!P20</f>
        <v>0</v>
      </c>
      <c r="Q23" s="32">
        <f>+'422 Maintenance'!Q20</f>
        <v>2000</v>
      </c>
      <c r="R23" s="32">
        <f>+'422 Maintenance'!R20</f>
        <v>0</v>
      </c>
      <c r="S23" s="32">
        <f>+'422 Maintenance'!S20</f>
        <v>0</v>
      </c>
    </row>
    <row r="24" spans="1:19" x14ac:dyDescent="0.25">
      <c r="A24" s="224">
        <v>5251</v>
      </c>
      <c r="B24" s="7" t="s">
        <v>147</v>
      </c>
      <c r="C24" s="8">
        <f>+'192 Public Bldgs'!C17+'422 Maintenance'!C21</f>
        <v>2981.07</v>
      </c>
      <c r="D24" s="8">
        <f>+'192 Public Bldgs'!D17+'422 Maintenance'!D21</f>
        <v>3552.43</v>
      </c>
      <c r="E24" s="8">
        <f>+'192 Public Bldgs'!E17+'422 Maintenance'!E21</f>
        <v>5595.84</v>
      </c>
      <c r="F24" s="8">
        <f>+'192 Public Bldgs'!F17+'422 Maintenance'!F21</f>
        <v>5335.59</v>
      </c>
      <c r="G24" s="8">
        <f>+'192 Public Bldgs'!G17+'422 Maintenance'!G21</f>
        <v>8776.69</v>
      </c>
      <c r="H24" s="8">
        <f>+'192 Public Bldgs'!H17+'422 Maintenance'!H21</f>
        <v>6110.8</v>
      </c>
      <c r="I24" s="8">
        <f>+'192 Public Bldgs'!I17+'422 Maintenance'!I21</f>
        <v>7246.8899999999994</v>
      </c>
      <c r="J24" s="8">
        <f>+'192 Public Bldgs'!J17+'422 Maintenance'!J21</f>
        <v>6657.27</v>
      </c>
      <c r="K24" s="32">
        <f>+'192 Public Bldgs'!K17+'422 Maintenance'!K21</f>
        <v>5300</v>
      </c>
      <c r="L24" s="8">
        <f>+'192 Public Bldgs'!L17+'422 Maintenance'!L21</f>
        <v>7949.81</v>
      </c>
      <c r="M24" s="32">
        <f>+'192 Public Bldgs'!M17+'422 Maintenance'!M21</f>
        <v>7800</v>
      </c>
      <c r="N24" s="8">
        <f>+'192 Public Bldgs'!N17+'422 Maintenance'!N21</f>
        <v>12281.22</v>
      </c>
      <c r="O24" s="32">
        <f>+'192 Public Bldgs'!O17+'422 Maintenance'!O21</f>
        <v>10000</v>
      </c>
      <c r="P24" s="8">
        <f>+'192 Public Bldgs'!P17+'422 Maintenance'!P21</f>
        <v>8315.43</v>
      </c>
      <c r="Q24" s="32">
        <f>+'192 Public Bldgs'!Q17+'422 Maintenance'!Q21</f>
        <v>10000</v>
      </c>
      <c r="R24" s="32">
        <f>+'192 Public Bldgs'!R17+'422 Maintenance'!R21</f>
        <v>0</v>
      </c>
      <c r="S24" s="32">
        <f>+'192 Public Bldgs'!S17+'422 Maintenance'!S21</f>
        <v>0</v>
      </c>
    </row>
    <row r="25" spans="1:19" x14ac:dyDescent="0.25">
      <c r="A25" s="224">
        <v>5277</v>
      </c>
      <c r="B25" s="7" t="s">
        <v>148</v>
      </c>
      <c r="C25" s="8">
        <f>+'422 Maintenance'!C22</f>
        <v>0</v>
      </c>
      <c r="D25" s="8">
        <f>+'422 Maintenance'!D22</f>
        <v>0</v>
      </c>
      <c r="E25" s="8">
        <f>+'422 Maintenance'!E22</f>
        <v>0</v>
      </c>
      <c r="F25" s="8">
        <f>+'422 Maintenance'!F22</f>
        <v>0</v>
      </c>
      <c r="G25" s="8">
        <f>+'422 Maintenance'!G22</f>
        <v>0</v>
      </c>
      <c r="H25" s="8">
        <f>+'422 Maintenance'!H22</f>
        <v>0</v>
      </c>
      <c r="I25" s="8">
        <f>+'422 Maintenance'!I22</f>
        <v>0</v>
      </c>
      <c r="J25" s="8">
        <f>+'422 Maintenance'!J22</f>
        <v>0</v>
      </c>
      <c r="K25" s="32">
        <f>+'422 Maintenance'!K22</f>
        <v>0</v>
      </c>
      <c r="L25" s="8">
        <f>+'422 Maintenance'!L22</f>
        <v>0</v>
      </c>
      <c r="M25" s="32">
        <f>+'422 Maintenance'!M22</f>
        <v>0</v>
      </c>
      <c r="N25" s="8">
        <f>+'422 Maintenance'!N22</f>
        <v>0</v>
      </c>
      <c r="O25" s="32">
        <f>+'422 Maintenance'!O22</f>
        <v>0</v>
      </c>
      <c r="P25" s="8">
        <f>+'422 Maintenance'!P22</f>
        <v>0</v>
      </c>
      <c r="Q25" s="32">
        <f>+'422 Maintenance'!Q22</f>
        <v>0</v>
      </c>
      <c r="R25" s="32">
        <f>+'422 Maintenance'!R22</f>
        <v>0</v>
      </c>
      <c r="S25" s="32">
        <f>+'422 Maintenance'!S22</f>
        <v>0</v>
      </c>
    </row>
    <row r="26" spans="1:19" x14ac:dyDescent="0.25">
      <c r="A26" s="224">
        <v>5278</v>
      </c>
      <c r="B26" s="7" t="s">
        <v>149</v>
      </c>
      <c r="C26" s="8">
        <f>+'422 Maintenance'!C23</f>
        <v>6254.36</v>
      </c>
      <c r="D26" s="8">
        <f>+'422 Maintenance'!D23</f>
        <v>7210.2</v>
      </c>
      <c r="E26" s="8">
        <f>+'422 Maintenance'!E23</f>
        <v>7337.82</v>
      </c>
      <c r="F26" s="8">
        <f>+'422 Maintenance'!F23</f>
        <v>9576.67</v>
      </c>
      <c r="G26" s="8">
        <f>+'422 Maintenance'!G23</f>
        <v>11297.29</v>
      </c>
      <c r="H26" s="8">
        <f>+'422 Maintenance'!H23</f>
        <v>10913.81</v>
      </c>
      <c r="I26" s="8">
        <f>+'422 Maintenance'!I23</f>
        <v>12262.49</v>
      </c>
      <c r="J26" s="8">
        <f>+'422 Maintenance'!J23</f>
        <v>9959.7000000000007</v>
      </c>
      <c r="K26" s="32">
        <f>+'422 Maintenance'!K23</f>
        <v>0</v>
      </c>
      <c r="L26" s="8">
        <f>+'422 Maintenance'!L23</f>
        <v>0</v>
      </c>
      <c r="M26" s="32">
        <f>+'422 Maintenance'!M23</f>
        <v>0</v>
      </c>
      <c r="N26" s="8">
        <f>+'422 Maintenance'!N23</f>
        <v>0</v>
      </c>
      <c r="O26" s="32">
        <f>+'422 Maintenance'!O23</f>
        <v>0</v>
      </c>
      <c r="P26" s="8">
        <f>+'422 Maintenance'!P23</f>
        <v>0</v>
      </c>
      <c r="Q26" s="32">
        <f>+'422 Maintenance'!Q23</f>
        <v>0</v>
      </c>
      <c r="R26" s="32">
        <f>+'422 Maintenance'!R23</f>
        <v>0</v>
      </c>
      <c r="S26" s="32">
        <f>+'422 Maintenance'!S23</f>
        <v>0</v>
      </c>
    </row>
    <row r="27" spans="1:19" x14ac:dyDescent="0.25">
      <c r="A27" s="224">
        <v>5310</v>
      </c>
      <c r="B27" s="7" t="s">
        <v>150</v>
      </c>
      <c r="C27" s="8">
        <f>+'422 Maintenance'!C24</f>
        <v>1659.5</v>
      </c>
      <c r="D27" s="8">
        <f>+'422 Maintenance'!D24</f>
        <v>1863</v>
      </c>
      <c r="E27" s="8">
        <f>+'422 Maintenance'!E24</f>
        <v>1535</v>
      </c>
      <c r="F27" s="8">
        <f>+'422 Maintenance'!F24</f>
        <v>1775.1</v>
      </c>
      <c r="G27" s="8">
        <f>+'422 Maintenance'!G24</f>
        <v>2491</v>
      </c>
      <c r="H27" s="8">
        <f>+'422 Maintenance'!H24</f>
        <v>10389.34</v>
      </c>
      <c r="I27" s="8">
        <f>+'422 Maintenance'!I24</f>
        <v>5775</v>
      </c>
      <c r="J27" s="8">
        <f>+'422 Maintenance'!J24</f>
        <v>4765</v>
      </c>
      <c r="K27" s="32">
        <f>+'422 Maintenance'!K24</f>
        <v>5000</v>
      </c>
      <c r="L27" s="8">
        <f>+'422 Maintenance'!L24</f>
        <v>3778</v>
      </c>
      <c r="M27" s="32">
        <f>+'422 Maintenance'!M24</f>
        <v>5000</v>
      </c>
      <c r="N27" s="8">
        <f>+'422 Maintenance'!N24</f>
        <v>3767.59</v>
      </c>
      <c r="O27" s="32">
        <f>+'422 Maintenance'!O24</f>
        <v>5000</v>
      </c>
      <c r="P27" s="8">
        <f>+'422 Maintenance'!P24</f>
        <v>1612.59</v>
      </c>
      <c r="Q27" s="32">
        <f>+'422 Maintenance'!Q24</f>
        <v>5000</v>
      </c>
      <c r="R27" s="32">
        <f>+'422 Maintenance'!R24</f>
        <v>0</v>
      </c>
      <c r="S27" s="32">
        <f>+'422 Maintenance'!S24</f>
        <v>0</v>
      </c>
    </row>
    <row r="28" spans="1:19" x14ac:dyDescent="0.25">
      <c r="A28" s="224">
        <v>5314</v>
      </c>
      <c r="B28" s="7" t="s">
        <v>41</v>
      </c>
      <c r="C28" s="8">
        <f>+'422 Maintenance'!C25</f>
        <v>35</v>
      </c>
      <c r="D28" s="8">
        <f>+'422 Maintenance'!D25</f>
        <v>65</v>
      </c>
      <c r="E28" s="8">
        <f>+'422 Maintenance'!E25</f>
        <v>80</v>
      </c>
      <c r="F28" s="8">
        <f>+'422 Maintenance'!F25</f>
        <v>100</v>
      </c>
      <c r="G28" s="8">
        <f>+'422 Maintenance'!G25</f>
        <v>2040</v>
      </c>
      <c r="H28" s="8">
        <f>+'422 Maintenance'!H25</f>
        <v>40</v>
      </c>
      <c r="I28" s="8">
        <f>+'422 Maintenance'!I25</f>
        <v>210</v>
      </c>
      <c r="J28" s="8">
        <f>+'422 Maintenance'!J25</f>
        <v>100</v>
      </c>
      <c r="K28" s="32">
        <f>+'422 Maintenance'!K25</f>
        <v>200</v>
      </c>
      <c r="L28" s="8">
        <f>+'422 Maintenance'!L25</f>
        <v>0</v>
      </c>
      <c r="M28" s="32">
        <f>+'422 Maintenance'!M25</f>
        <v>200</v>
      </c>
      <c r="N28" s="8">
        <f>+'422 Maintenance'!N25</f>
        <v>1330</v>
      </c>
      <c r="O28" s="32">
        <f>+'422 Maintenance'!O25</f>
        <v>200</v>
      </c>
      <c r="P28" s="8">
        <f>+'422 Maintenance'!P25</f>
        <v>0</v>
      </c>
      <c r="Q28" s="32">
        <f>+'422 Maintenance'!Q25</f>
        <v>1000</v>
      </c>
      <c r="R28" s="32">
        <f>+'422 Maintenance'!R25</f>
        <v>0</v>
      </c>
      <c r="S28" s="32">
        <f>+'422 Maintenance'!S25</f>
        <v>0</v>
      </c>
    </row>
    <row r="29" spans="1:19" x14ac:dyDescent="0.25">
      <c r="A29" s="224">
        <v>5315</v>
      </c>
      <c r="B29" s="7" t="s">
        <v>151</v>
      </c>
      <c r="C29" s="8">
        <f>+'422 Maintenance'!C26</f>
        <v>24208.71</v>
      </c>
      <c r="D29" s="8">
        <f>+'422 Maintenance'!D26</f>
        <v>21600.63</v>
      </c>
      <c r="E29" s="8">
        <f>+'422 Maintenance'!E26</f>
        <v>27572.84</v>
      </c>
      <c r="F29" s="8">
        <f>+'422 Maintenance'!F26</f>
        <v>29246.78</v>
      </c>
      <c r="G29" s="8">
        <f>+'422 Maintenance'!G26</f>
        <v>20041.039999999997</v>
      </c>
      <c r="H29" s="8">
        <f>+'422 Maintenance'!H26</f>
        <v>14179.400000000001</v>
      </c>
      <c r="I29" s="8">
        <f>+'422 Maintenance'!I26</f>
        <v>22930.35</v>
      </c>
      <c r="J29" s="8">
        <f>+'422 Maintenance'!J26</f>
        <v>10841.6</v>
      </c>
      <c r="K29" s="32">
        <f>+'422 Maintenance'!K26</f>
        <v>18000</v>
      </c>
      <c r="L29" s="8">
        <f>+'422 Maintenance'!L26</f>
        <v>29457.1</v>
      </c>
      <c r="M29" s="32">
        <f>+'422 Maintenance'!M26</f>
        <v>18000</v>
      </c>
      <c r="N29" s="8">
        <f>+'422 Maintenance'!N26</f>
        <v>15340.91</v>
      </c>
      <c r="O29" s="32">
        <f>+'422 Maintenance'!O26</f>
        <v>18500</v>
      </c>
      <c r="P29" s="8">
        <f>+'422 Maintenance'!P26</f>
        <v>3661</v>
      </c>
      <c r="Q29" s="32">
        <f>+'422 Maintenance'!Q26</f>
        <v>18500</v>
      </c>
      <c r="R29" s="32">
        <f>+'422 Maintenance'!R26</f>
        <v>0</v>
      </c>
      <c r="S29" s="32">
        <f>+'422 Maintenance'!S26</f>
        <v>0</v>
      </c>
    </row>
    <row r="30" spans="1:19" x14ac:dyDescent="0.25">
      <c r="A30" s="224">
        <v>5320</v>
      </c>
      <c r="B30" s="7" t="s">
        <v>152</v>
      </c>
      <c r="C30" s="8"/>
      <c r="D30" s="8"/>
      <c r="E30" s="8"/>
      <c r="F30" s="8"/>
      <c r="G30" s="8"/>
      <c r="H30" s="8"/>
      <c r="I30" s="8">
        <f>+'422 Maintenance'!I27</f>
        <v>19083.580000000002</v>
      </c>
      <c r="J30" s="8">
        <f>+'422 Maintenance'!J27</f>
        <v>27622.11</v>
      </c>
      <c r="K30" s="32">
        <f>+'422 Maintenance'!K27</f>
        <v>22000</v>
      </c>
      <c r="L30" s="8">
        <f>+'422 Maintenance'!L27</f>
        <v>25903.26</v>
      </c>
      <c r="M30" s="32">
        <f>+'422 Maintenance'!M27</f>
        <v>28000</v>
      </c>
      <c r="N30" s="8">
        <f>+'422 Maintenance'!N27</f>
        <v>23797.75</v>
      </c>
      <c r="O30" s="32">
        <f>+'422 Maintenance'!O27</f>
        <v>28000</v>
      </c>
      <c r="P30" s="32">
        <f>+'422 Maintenance'!P27</f>
        <v>3065.83</v>
      </c>
      <c r="Q30" s="32">
        <f>+'422 Maintenance'!Q27</f>
        <v>28000</v>
      </c>
      <c r="R30" s="32">
        <f>+'422 Maintenance'!R27</f>
        <v>0</v>
      </c>
      <c r="S30" s="32"/>
    </row>
    <row r="31" spans="1:19" x14ac:dyDescent="0.25">
      <c r="A31" s="224">
        <v>5341</v>
      </c>
      <c r="B31" s="7" t="s">
        <v>153</v>
      </c>
      <c r="C31" s="8">
        <f>+'422 Maintenance'!C28</f>
        <v>3078.49</v>
      </c>
      <c r="D31" s="8">
        <f>+'422 Maintenance'!D28</f>
        <v>3210.87</v>
      </c>
      <c r="E31" s="8">
        <f>+'422 Maintenance'!E28</f>
        <v>3419.12</v>
      </c>
      <c r="F31" s="8">
        <f>+'422 Maintenance'!F28</f>
        <v>3544.05</v>
      </c>
      <c r="G31" s="8">
        <f>+'422 Maintenance'!G28</f>
        <v>3468.11</v>
      </c>
      <c r="H31" s="8">
        <f>+'422 Maintenance'!H28</f>
        <v>1848.31</v>
      </c>
      <c r="I31" s="8">
        <f>+'422 Maintenance'!I28</f>
        <v>1750.2</v>
      </c>
      <c r="J31" s="8">
        <f>+'422 Maintenance'!J28</f>
        <v>1771.2</v>
      </c>
      <c r="K31" s="32">
        <f>+'422 Maintenance'!K28</f>
        <v>3500</v>
      </c>
      <c r="L31" s="8">
        <f>+'422 Maintenance'!L28</f>
        <v>2094.5300000000002</v>
      </c>
      <c r="M31" s="32">
        <f>+'422 Maintenance'!M28</f>
        <v>3500</v>
      </c>
      <c r="N31" s="8">
        <f>+'422 Maintenance'!N28</f>
        <v>2200.96</v>
      </c>
      <c r="O31" s="32">
        <f>+'422 Maintenance'!O28</f>
        <v>3000</v>
      </c>
      <c r="P31" s="8">
        <f>+'422 Maintenance'!P28</f>
        <v>1544.27</v>
      </c>
      <c r="Q31" s="32">
        <f>+'422 Maintenance'!Q28</f>
        <v>3000</v>
      </c>
      <c r="R31" s="32">
        <f>+'422 Maintenance'!R28</f>
        <v>0</v>
      </c>
      <c r="S31" s="32">
        <f>+'422 Maintenance'!S28</f>
        <v>0</v>
      </c>
    </row>
    <row r="32" spans="1:19" x14ac:dyDescent="0.25">
      <c r="A32" s="224">
        <v>5344</v>
      </c>
      <c r="B32" s="7" t="s">
        <v>33</v>
      </c>
      <c r="C32" s="8">
        <f>+'422 Maintenance'!C29</f>
        <v>60.4</v>
      </c>
      <c r="D32" s="8">
        <f>+'422 Maintenance'!D29</f>
        <v>78.47</v>
      </c>
      <c r="E32" s="8">
        <f>+'422 Maintenance'!E29</f>
        <v>55</v>
      </c>
      <c r="F32" s="8">
        <f>+'422 Maintenance'!F29</f>
        <v>28.15</v>
      </c>
      <c r="G32" s="8">
        <f>+'422 Maintenance'!G29</f>
        <v>20.82</v>
      </c>
      <c r="H32" s="8">
        <f>+'422 Maintenance'!H29</f>
        <v>58.25</v>
      </c>
      <c r="I32" s="8">
        <f>+'422 Maintenance'!I29</f>
        <v>31.22</v>
      </c>
      <c r="J32" s="8">
        <f>+'422 Maintenance'!J29</f>
        <v>22</v>
      </c>
      <c r="K32" s="32">
        <f>+'422 Maintenance'!K29</f>
        <v>100</v>
      </c>
      <c r="L32" s="8">
        <f>+'422 Maintenance'!L29</f>
        <v>17.47</v>
      </c>
      <c r="M32" s="32">
        <f>+'422 Maintenance'!M29</f>
        <v>100</v>
      </c>
      <c r="N32" s="8">
        <f>+'422 Maintenance'!N29</f>
        <v>131.34</v>
      </c>
      <c r="O32" s="32">
        <f>+'422 Maintenance'!O29</f>
        <v>100</v>
      </c>
      <c r="P32" s="8">
        <f>+'422 Maintenance'!P29</f>
        <v>12</v>
      </c>
      <c r="Q32" s="32">
        <f>+'422 Maintenance'!Q29</f>
        <v>100</v>
      </c>
      <c r="R32" s="32">
        <f>+'422 Maintenance'!R29</f>
        <v>0</v>
      </c>
      <c r="S32" s="32">
        <f>+'422 Maintenance'!S29</f>
        <v>0</v>
      </c>
    </row>
    <row r="33" spans="1:19" x14ac:dyDescent="0.25">
      <c r="A33" s="224">
        <v>5345</v>
      </c>
      <c r="B33" s="7" t="s">
        <v>42</v>
      </c>
      <c r="C33" s="8">
        <f>+'422 Maintenance'!C30</f>
        <v>50.81</v>
      </c>
      <c r="D33" s="8">
        <f>+'422 Maintenance'!D30</f>
        <v>237.71</v>
      </c>
      <c r="E33" s="8">
        <f>+'422 Maintenance'!E30</f>
        <v>835.56</v>
      </c>
      <c r="F33" s="8">
        <f>+'422 Maintenance'!F30</f>
        <v>1284.3399999999999</v>
      </c>
      <c r="G33" s="8">
        <f>+'422 Maintenance'!G30</f>
        <v>1533.36</v>
      </c>
      <c r="H33" s="8">
        <f>+'422 Maintenance'!H30</f>
        <v>1075.22</v>
      </c>
      <c r="I33" s="8">
        <f>+'422 Maintenance'!I30</f>
        <v>3390.59</v>
      </c>
      <c r="J33" s="8">
        <f>+'422 Maintenance'!J30</f>
        <v>1518.32</v>
      </c>
      <c r="K33" s="32">
        <f>+'422 Maintenance'!K30</f>
        <v>2500</v>
      </c>
      <c r="L33" s="8">
        <f>+'422 Maintenance'!L30</f>
        <v>1531.24</v>
      </c>
      <c r="M33" s="32">
        <f>+'422 Maintenance'!M30</f>
        <v>2500</v>
      </c>
      <c r="N33" s="8">
        <f>+'422 Maintenance'!N30</f>
        <v>2514.33</v>
      </c>
      <c r="O33" s="32">
        <f>+'422 Maintenance'!O30</f>
        <v>2500</v>
      </c>
      <c r="P33" s="8">
        <f>+'422 Maintenance'!P30</f>
        <v>523.02</v>
      </c>
      <c r="Q33" s="32">
        <f>+'422 Maintenance'!Q30</f>
        <v>2500</v>
      </c>
      <c r="R33" s="32">
        <f>+'422 Maintenance'!R30</f>
        <v>0</v>
      </c>
      <c r="S33" s="32">
        <f>+'422 Maintenance'!S30</f>
        <v>0</v>
      </c>
    </row>
    <row r="34" spans="1:19" x14ac:dyDescent="0.25">
      <c r="A34" s="224">
        <v>5420</v>
      </c>
      <c r="B34" s="7" t="s">
        <v>43</v>
      </c>
      <c r="C34" s="13">
        <f>+'422 Maintenance'!C31</f>
        <v>965.81</v>
      </c>
      <c r="D34" s="13">
        <f>+'422 Maintenance'!D31</f>
        <v>694.26</v>
      </c>
      <c r="E34" s="13">
        <f>+'422 Maintenance'!E31</f>
        <v>1611.93</v>
      </c>
      <c r="F34" s="13">
        <f>+'422 Maintenance'!F31</f>
        <v>1141.1500000000001</v>
      </c>
      <c r="G34" s="13">
        <f>+'422 Maintenance'!G31</f>
        <v>953.7</v>
      </c>
      <c r="H34" s="13">
        <f>+'422 Maintenance'!H31</f>
        <v>1938.24</v>
      </c>
      <c r="I34" s="13">
        <f>+'422 Maintenance'!I31</f>
        <v>1793.4</v>
      </c>
      <c r="J34" s="13">
        <f>+'422 Maintenance'!J31</f>
        <v>861.64</v>
      </c>
      <c r="K34" s="26">
        <f>+'422 Maintenance'!K31</f>
        <v>1750</v>
      </c>
      <c r="L34" s="13">
        <f>+'422 Maintenance'!L31</f>
        <v>2708.1</v>
      </c>
      <c r="M34" s="26">
        <f>+'422 Maintenance'!M31</f>
        <v>4000</v>
      </c>
      <c r="N34" s="13">
        <f>+'422 Maintenance'!N31</f>
        <v>1700.87</v>
      </c>
      <c r="O34" s="26">
        <f>+'422 Maintenance'!O31</f>
        <v>3500</v>
      </c>
      <c r="P34" s="13">
        <f>+'422 Maintenance'!P31</f>
        <v>1219.44</v>
      </c>
      <c r="Q34" s="26">
        <f>+'422 Maintenance'!Q31</f>
        <v>3500</v>
      </c>
      <c r="R34" s="26">
        <f>+'422 Maintenance'!R31</f>
        <v>0</v>
      </c>
      <c r="S34" s="26">
        <f>+'422 Maintenance'!S31</f>
        <v>0</v>
      </c>
    </row>
    <row r="35" spans="1:19" x14ac:dyDescent="0.25">
      <c r="A35" s="224">
        <v>5430</v>
      </c>
      <c r="B35" s="7" t="s">
        <v>154</v>
      </c>
      <c r="C35" s="8">
        <f>+'192 Public Bldgs'!C18+'422 Maintenance'!C32</f>
        <v>2626.15</v>
      </c>
      <c r="D35" s="8">
        <f>+'192 Public Bldgs'!D18+'422 Maintenance'!D32</f>
        <v>2970.4399999999996</v>
      </c>
      <c r="E35" s="8">
        <f>+'192 Public Bldgs'!E18+'422 Maintenance'!E32</f>
        <v>1967.79</v>
      </c>
      <c r="F35" s="8">
        <f>+'192 Public Bldgs'!F18+'422 Maintenance'!F32</f>
        <v>2444.42</v>
      </c>
      <c r="G35" s="8">
        <f>+'192 Public Bldgs'!G18+'422 Maintenance'!G32</f>
        <v>6742.5399999999991</v>
      </c>
      <c r="H35" s="8">
        <f>+'192 Public Bldgs'!H18+'422 Maintenance'!H32</f>
        <v>3466.7300000000005</v>
      </c>
      <c r="I35" s="8">
        <f>+'192 Public Bldgs'!I18+'422 Maintenance'!I32</f>
        <v>2579.1600000000003</v>
      </c>
      <c r="J35" s="8">
        <f>+'192 Public Bldgs'!J18+'422 Maintenance'!J32</f>
        <v>3482.2000000000003</v>
      </c>
      <c r="K35" s="32">
        <f>+'192 Public Bldgs'!K18+'422 Maintenance'!K32</f>
        <v>6500</v>
      </c>
      <c r="L35" s="8">
        <f>+'192 Public Bldgs'!L18+'422 Maintenance'!L32</f>
        <v>1496.88</v>
      </c>
      <c r="M35" s="32">
        <f>+'192 Public Bldgs'!M18+'422 Maintenance'!M32</f>
        <v>6500</v>
      </c>
      <c r="N35" s="8">
        <f>+'192 Public Bldgs'!N18+'422 Maintenance'!N32</f>
        <v>4649.29</v>
      </c>
      <c r="O35" s="32">
        <f>+'192 Public Bldgs'!O18+'422 Maintenance'!O32</f>
        <v>5500</v>
      </c>
      <c r="P35" s="8">
        <f>+'192 Public Bldgs'!P18+'422 Maintenance'!P32</f>
        <v>166.75</v>
      </c>
      <c r="Q35" s="32">
        <f>+'192 Public Bldgs'!Q18+'422 Maintenance'!Q32</f>
        <v>5500</v>
      </c>
      <c r="R35" s="32">
        <f>+'192 Public Bldgs'!R18+'422 Maintenance'!R32</f>
        <v>0</v>
      </c>
      <c r="S35" s="32">
        <f>+'192 Public Bldgs'!S18+'422 Maintenance'!S32</f>
        <v>0</v>
      </c>
    </row>
    <row r="36" spans="1:19" x14ac:dyDescent="0.25">
      <c r="A36" s="224">
        <v>5432</v>
      </c>
      <c r="B36" s="7" t="s">
        <v>155</v>
      </c>
      <c r="C36" s="8">
        <f>+'422 Maintenance'!C33</f>
        <v>37.119999999999997</v>
      </c>
      <c r="D36" s="8">
        <f>+'422 Maintenance'!D33</f>
        <v>13.95</v>
      </c>
      <c r="E36" s="8">
        <f>+'422 Maintenance'!E33</f>
        <v>0</v>
      </c>
      <c r="F36" s="8">
        <f>+'422 Maintenance'!F33</f>
        <v>55.85</v>
      </c>
      <c r="G36" s="8">
        <f>+'422 Maintenance'!G33</f>
        <v>0</v>
      </c>
      <c r="H36" s="8">
        <f>+'422 Maintenance'!H33</f>
        <v>0</v>
      </c>
      <c r="I36" s="8">
        <f>+'422 Maintenance'!I33</f>
        <v>0</v>
      </c>
      <c r="J36" s="8">
        <f>+'422 Maintenance'!J33</f>
        <v>0</v>
      </c>
      <c r="K36" s="32">
        <f>+'422 Maintenance'!K33</f>
        <v>0</v>
      </c>
      <c r="L36" s="8">
        <f>+'422 Maintenance'!L33</f>
        <v>0</v>
      </c>
      <c r="M36" s="32">
        <f>+'422 Maintenance'!M33</f>
        <v>0</v>
      </c>
      <c r="N36" s="8">
        <f>+'422 Maintenance'!N33</f>
        <v>0</v>
      </c>
      <c r="O36" s="32">
        <f>+'422 Maintenance'!O33</f>
        <v>0</v>
      </c>
      <c r="P36" s="8">
        <f>+'422 Maintenance'!P33</f>
        <v>0</v>
      </c>
      <c r="Q36" s="32">
        <f>+'422 Maintenance'!Q33</f>
        <v>0</v>
      </c>
      <c r="R36" s="32">
        <f>+'422 Maintenance'!R33</f>
        <v>0</v>
      </c>
      <c r="S36" s="32">
        <f>+'422 Maintenance'!S33</f>
        <v>0</v>
      </c>
    </row>
    <row r="37" spans="1:19" x14ac:dyDescent="0.25">
      <c r="A37" s="224">
        <v>5435</v>
      </c>
      <c r="B37" s="7" t="s">
        <v>156</v>
      </c>
      <c r="C37" s="8">
        <f>+'422 Maintenance'!C34</f>
        <v>2223.06</v>
      </c>
      <c r="D37" s="8">
        <f>+'422 Maintenance'!D34</f>
        <v>1519.3</v>
      </c>
      <c r="E37" s="8">
        <f>+'422 Maintenance'!E34</f>
        <v>2230.3200000000002</v>
      </c>
      <c r="F37" s="8">
        <f>+'422 Maintenance'!F34</f>
        <v>3011.96</v>
      </c>
      <c r="G37" s="8">
        <f>+'422 Maintenance'!G34</f>
        <v>2113.88</v>
      </c>
      <c r="H37" s="8">
        <f>+'422 Maintenance'!H34</f>
        <v>6885.49</v>
      </c>
      <c r="I37" s="8">
        <f>+'422 Maintenance'!I34</f>
        <v>3971.26</v>
      </c>
      <c r="J37" s="8">
        <f>+'422 Maintenance'!J34</f>
        <v>9171.73</v>
      </c>
      <c r="K37" s="32">
        <f>+'422 Maintenance'!K34</f>
        <v>5000</v>
      </c>
      <c r="L37" s="8">
        <f>+'422 Maintenance'!L34</f>
        <v>2848.01</v>
      </c>
      <c r="M37" s="32">
        <f>+'422 Maintenance'!M34</f>
        <v>5000</v>
      </c>
      <c r="N37" s="8">
        <f>+'422 Maintenance'!N34</f>
        <v>4877.91</v>
      </c>
      <c r="O37" s="32">
        <f>+'422 Maintenance'!O34</f>
        <v>5000</v>
      </c>
      <c r="P37" s="8">
        <f>+'422 Maintenance'!P34</f>
        <v>2258.4299999999998</v>
      </c>
      <c r="Q37" s="32">
        <f>+'422 Maintenance'!Q34</f>
        <v>5000</v>
      </c>
      <c r="R37" s="32">
        <f>+'422 Maintenance'!R34</f>
        <v>0</v>
      </c>
      <c r="S37" s="32">
        <f>+'422 Maintenance'!S34</f>
        <v>0</v>
      </c>
    </row>
    <row r="38" spans="1:19" x14ac:dyDescent="0.25">
      <c r="A38" s="224">
        <v>5440</v>
      </c>
      <c r="B38" s="7" t="s">
        <v>157</v>
      </c>
      <c r="C38" s="8">
        <f>+'422 Maintenance'!C35</f>
        <v>4022.66</v>
      </c>
      <c r="D38" s="8">
        <f>+'422 Maintenance'!D35</f>
        <v>4443.3500000000004</v>
      </c>
      <c r="E38" s="8">
        <f>+'422 Maintenance'!E35</f>
        <v>6122.27</v>
      </c>
      <c r="F38" s="8">
        <f>+'422 Maintenance'!F35</f>
        <v>4464.0600000000004</v>
      </c>
      <c r="G38" s="8">
        <f>+'422 Maintenance'!G35</f>
        <v>2584.31</v>
      </c>
      <c r="H38" s="8">
        <f>+'422 Maintenance'!H35</f>
        <v>8262.68</v>
      </c>
      <c r="I38" s="8">
        <f>+'422 Maintenance'!I35</f>
        <v>5721.25</v>
      </c>
      <c r="J38" s="8">
        <f>+'422 Maintenance'!J35</f>
        <v>9061.2199999999993</v>
      </c>
      <c r="K38" s="32">
        <f>+'422 Maintenance'!K35</f>
        <v>7000</v>
      </c>
      <c r="L38" s="8">
        <f>+'422 Maintenance'!L35</f>
        <v>6192.19</v>
      </c>
      <c r="M38" s="32">
        <f>+'422 Maintenance'!M35</f>
        <v>8000</v>
      </c>
      <c r="N38" s="8">
        <f>+'422 Maintenance'!N35</f>
        <v>7341.42</v>
      </c>
      <c r="O38" s="32">
        <f>+'422 Maintenance'!O35</f>
        <v>8000</v>
      </c>
      <c r="P38" s="8">
        <f>+'422 Maintenance'!P35</f>
        <v>2352.25</v>
      </c>
      <c r="Q38" s="32">
        <f>+'422 Maintenance'!Q35</f>
        <v>10000</v>
      </c>
      <c r="R38" s="32">
        <f>+'422 Maintenance'!R35</f>
        <v>0</v>
      </c>
      <c r="S38" s="32">
        <f>+'422 Maintenance'!S35</f>
        <v>0</v>
      </c>
    </row>
    <row r="39" spans="1:19" x14ac:dyDescent="0.25">
      <c r="A39" s="224">
        <v>5443</v>
      </c>
      <c r="B39" s="7" t="s">
        <v>158</v>
      </c>
      <c r="C39" s="8">
        <f>+'192 Public Bldgs'!C19+'422 Maintenance'!C36+'652 Parks'!C16</f>
        <v>21800.489999999998</v>
      </c>
      <c r="D39" s="8">
        <f>+'192 Public Bldgs'!D19+'422 Maintenance'!D36+'652 Parks'!D16</f>
        <v>26072.620000000003</v>
      </c>
      <c r="E39" s="8">
        <f>+'192 Public Bldgs'!E19+'422 Maintenance'!E36+'652 Parks'!E16</f>
        <v>25671.309999999998</v>
      </c>
      <c r="F39" s="8">
        <f>+'192 Public Bldgs'!F19+'422 Maintenance'!F36+'652 Parks'!F16</f>
        <v>53738</v>
      </c>
      <c r="G39" s="8">
        <f>+'192 Public Bldgs'!G19+'422 Maintenance'!G36+'652 Parks'!G16</f>
        <v>31883.269999999997</v>
      </c>
      <c r="H39" s="8">
        <f>+'192 Public Bldgs'!H19+'422 Maintenance'!H36+'652 Parks'!H16</f>
        <v>44588.79</v>
      </c>
      <c r="I39" s="8">
        <f>+'192 Public Bldgs'!I19+'422 Maintenance'!I36+'652 Parks'!I16</f>
        <v>38715.33</v>
      </c>
      <c r="J39" s="8">
        <f>+'192 Public Bldgs'!J19+'422 Maintenance'!J36+'652 Parks'!J16</f>
        <v>56626.25</v>
      </c>
      <c r="K39" s="32">
        <f>+'192 Public Bldgs'!K19+'422 Maintenance'!K36+'652 Parks'!K16</f>
        <v>48000</v>
      </c>
      <c r="L39" s="8">
        <f>+'192 Public Bldgs'!L19+'422 Maintenance'!L36+'652 Parks'!L16</f>
        <v>60340.03</v>
      </c>
      <c r="M39" s="32">
        <f>+'192 Public Bldgs'!M19+'422 Maintenance'!M36+'652 Parks'!M16</f>
        <v>52500</v>
      </c>
      <c r="N39" s="8">
        <f>+'192 Public Bldgs'!N19+'422 Maintenance'!N36+'652 Parks'!N16</f>
        <v>39658.479999999996</v>
      </c>
      <c r="O39" s="32">
        <f>+'192 Public Bldgs'!O19+'422 Maintenance'!O36+'652 Parks'!O16</f>
        <v>70500</v>
      </c>
      <c r="P39" s="8">
        <f>+'192 Public Bldgs'!P19+'422 Maintenance'!P36+'652 Parks'!P16</f>
        <v>22534.870000000003</v>
      </c>
      <c r="Q39" s="32">
        <f>+'192 Public Bldgs'!Q19+'422 Maintenance'!Q36+'652 Parks'!Q16</f>
        <v>70500</v>
      </c>
      <c r="R39" s="32">
        <f>+'192 Public Bldgs'!R19+'422 Maintenance'!R36+'652 Parks'!R16</f>
        <v>0</v>
      </c>
      <c r="S39" s="32">
        <f>+'192 Public Bldgs'!S19+'422 Maintenance'!S36+'652 Parks'!S16</f>
        <v>0</v>
      </c>
    </row>
    <row r="40" spans="1:19" x14ac:dyDescent="0.25">
      <c r="A40" s="224">
        <v>5451</v>
      </c>
      <c r="B40" s="7" t="s">
        <v>129</v>
      </c>
      <c r="C40" s="8">
        <f>+'192 Public Bldgs'!C21</f>
        <v>5018.82</v>
      </c>
      <c r="D40" s="8">
        <f>+'192 Public Bldgs'!D21</f>
        <v>5254.01</v>
      </c>
      <c r="E40" s="8">
        <f>+'192 Public Bldgs'!E21</f>
        <v>5220.07</v>
      </c>
      <c r="F40" s="8">
        <f>+'192 Public Bldgs'!F21</f>
        <v>4714.6000000000004</v>
      </c>
      <c r="G40" s="8">
        <f>+'192 Public Bldgs'!G21</f>
        <v>7479.13</v>
      </c>
      <c r="H40" s="8">
        <f>+'192 Public Bldgs'!H21</f>
        <v>7438.02</v>
      </c>
      <c r="I40" s="8">
        <f>+'192 Public Bldgs'!I21</f>
        <v>7961.22</v>
      </c>
      <c r="J40" s="8">
        <f>+'192 Public Bldgs'!J21</f>
        <v>7547.15</v>
      </c>
      <c r="K40" s="32">
        <f>+'192 Public Bldgs'!K21</f>
        <v>8000</v>
      </c>
      <c r="L40" s="8">
        <f>+'192 Public Bldgs'!L21</f>
        <v>5319.19</v>
      </c>
      <c r="M40" s="32">
        <f>+'192 Public Bldgs'!M21</f>
        <v>9000</v>
      </c>
      <c r="N40" s="8">
        <f>+'192 Public Bldgs'!N21</f>
        <v>5820.13</v>
      </c>
      <c r="O40" s="32">
        <f>+'192 Public Bldgs'!O21</f>
        <v>8500</v>
      </c>
      <c r="P40" s="8">
        <f>+'192 Public Bldgs'!P21</f>
        <v>4219.92</v>
      </c>
      <c r="Q40" s="32">
        <f>+'192 Public Bldgs'!Q21</f>
        <v>8500</v>
      </c>
      <c r="R40" s="32">
        <f>+'192 Public Bldgs'!R21</f>
        <v>0</v>
      </c>
      <c r="S40" s="32">
        <f>+'192 Public Bldgs'!S21</f>
        <v>0</v>
      </c>
    </row>
    <row r="41" spans="1:19" x14ac:dyDescent="0.25">
      <c r="A41" s="224">
        <v>5460</v>
      </c>
      <c r="B41" s="7" t="s">
        <v>159</v>
      </c>
      <c r="C41" s="8">
        <f>+'652 Parks'!C17</f>
        <v>512</v>
      </c>
      <c r="D41" s="8">
        <f>+'652 Parks'!D17</f>
        <v>2052.3200000000002</v>
      </c>
      <c r="E41" s="8">
        <f>+'652 Parks'!E17</f>
        <v>0</v>
      </c>
      <c r="F41" s="8">
        <f>+'652 Parks'!F17</f>
        <v>40</v>
      </c>
      <c r="G41" s="8">
        <f>+'652 Parks'!G17</f>
        <v>0</v>
      </c>
      <c r="H41" s="8">
        <f>+'652 Parks'!H17</f>
        <v>0</v>
      </c>
      <c r="I41" s="8">
        <f>+'652 Parks'!I17</f>
        <v>0</v>
      </c>
      <c r="J41" s="8">
        <f>+'652 Parks'!J17</f>
        <v>0</v>
      </c>
      <c r="K41" s="32">
        <f>+'652 Parks'!K17</f>
        <v>2000</v>
      </c>
      <c r="L41" s="8">
        <f>+'652 Parks'!L17</f>
        <v>0</v>
      </c>
      <c r="M41" s="32">
        <f>+'652 Parks'!M17</f>
        <v>2000</v>
      </c>
      <c r="N41" s="8">
        <f>+'652 Parks'!N17</f>
        <v>3694.08</v>
      </c>
      <c r="O41" s="32">
        <f>+'652 Parks'!O17</f>
        <v>2000</v>
      </c>
      <c r="P41" s="8">
        <f>+'652 Parks'!P17</f>
        <v>3663.94</v>
      </c>
      <c r="Q41" s="32">
        <f>+'652 Parks'!Q17</f>
        <v>3000</v>
      </c>
      <c r="R41" s="32">
        <f>+'652 Parks'!R17</f>
        <v>0</v>
      </c>
      <c r="S41" s="32">
        <f>+'652 Parks'!S17</f>
        <v>0</v>
      </c>
    </row>
    <row r="42" spans="1:19" x14ac:dyDescent="0.25">
      <c r="A42" s="224">
        <v>5481</v>
      </c>
      <c r="B42" s="7" t="s">
        <v>130</v>
      </c>
      <c r="C42" s="8">
        <f>+'422 Maintenance'!C37</f>
        <v>23072.400000000001</v>
      </c>
      <c r="D42" s="8">
        <f>+'422 Maintenance'!D37</f>
        <v>32924.959999999999</v>
      </c>
      <c r="E42" s="8">
        <f>+'422 Maintenance'!E37</f>
        <v>27697.48</v>
      </c>
      <c r="F42" s="8">
        <f>+'422 Maintenance'!F37</f>
        <v>18370.16</v>
      </c>
      <c r="G42" s="8">
        <f>+'422 Maintenance'!G37</f>
        <v>11746.54</v>
      </c>
      <c r="H42" s="8">
        <f>+'422 Maintenance'!H37</f>
        <v>27057.85</v>
      </c>
      <c r="I42" s="8">
        <f>+'422 Maintenance'!I37</f>
        <v>32961.730000000003</v>
      </c>
      <c r="J42" s="8">
        <f>+'422 Maintenance'!J37</f>
        <v>24671.91</v>
      </c>
      <c r="K42" s="32">
        <f>+'422 Maintenance'!K37</f>
        <v>45000</v>
      </c>
      <c r="L42" s="8">
        <f>+'422 Maintenance'!L37</f>
        <v>18138.169999999998</v>
      </c>
      <c r="M42" s="32">
        <f>+'422 Maintenance'!M37</f>
        <v>45000</v>
      </c>
      <c r="N42" s="8">
        <f>+'422 Maintenance'!N37</f>
        <v>20371.330000000002</v>
      </c>
      <c r="O42" s="32">
        <f>+'422 Maintenance'!O37</f>
        <v>45000</v>
      </c>
      <c r="P42" s="8">
        <f>+'422 Maintenance'!P37</f>
        <v>16172.35</v>
      </c>
      <c r="Q42" s="32">
        <f>+'422 Maintenance'!Q37</f>
        <v>63140</v>
      </c>
      <c r="R42" s="32">
        <f>+'422 Maintenance'!R37</f>
        <v>0</v>
      </c>
      <c r="S42" s="32">
        <f>+'422 Maintenance'!S37</f>
        <v>0</v>
      </c>
    </row>
    <row r="43" spans="1:19" x14ac:dyDescent="0.25">
      <c r="A43" s="224">
        <v>5482</v>
      </c>
      <c r="B43" s="7" t="s">
        <v>160</v>
      </c>
      <c r="C43" s="8">
        <f>+'422 Maintenance'!C38</f>
        <v>55086.99</v>
      </c>
      <c r="D43" s="8">
        <f>+'422 Maintenance'!D38</f>
        <v>73803.73</v>
      </c>
      <c r="E43" s="8">
        <f>+'422 Maintenance'!E38</f>
        <v>75053.789999999994</v>
      </c>
      <c r="F43" s="8">
        <f>+'422 Maintenance'!F38</f>
        <v>49247.73</v>
      </c>
      <c r="G43" s="8">
        <f>+'422 Maintenance'!G38</f>
        <v>30907.05</v>
      </c>
      <c r="H43" s="8">
        <f>+'422 Maintenance'!H38</f>
        <v>32653.5</v>
      </c>
      <c r="I43" s="8">
        <f>+'422 Maintenance'!I38</f>
        <v>50089.25</v>
      </c>
      <c r="J43" s="8">
        <f>+'422 Maintenance'!J38</f>
        <v>42648.88</v>
      </c>
      <c r="K43" s="32">
        <f>+'422 Maintenance'!K38</f>
        <v>60000</v>
      </c>
      <c r="L43" s="8">
        <f>+'422 Maintenance'!L38</f>
        <v>20446</v>
      </c>
      <c r="M43" s="32">
        <f>+'422 Maintenance'!M38</f>
        <v>53000</v>
      </c>
      <c r="N43" s="8">
        <f>+'422 Maintenance'!N38</f>
        <v>34760.06</v>
      </c>
      <c r="O43" s="32">
        <f>+'422 Maintenance'!O38</f>
        <v>53000</v>
      </c>
      <c r="P43" s="8">
        <f>+'422 Maintenance'!P38</f>
        <v>33044.78</v>
      </c>
      <c r="Q43" s="32">
        <f>+'422 Maintenance'!Q38</f>
        <v>67200</v>
      </c>
      <c r="R43" s="32">
        <f>+'422 Maintenance'!R38</f>
        <v>0</v>
      </c>
      <c r="S43" s="32">
        <f>+'422 Maintenance'!S38</f>
        <v>0</v>
      </c>
    </row>
    <row r="44" spans="1:19" x14ac:dyDescent="0.25">
      <c r="A44" s="224">
        <v>5484</v>
      </c>
      <c r="B44" s="7" t="s">
        <v>161</v>
      </c>
      <c r="C44" s="8">
        <f>+'422 Maintenance'!C39</f>
        <v>41019.53</v>
      </c>
      <c r="D44" s="8">
        <f>+'422 Maintenance'!D39</f>
        <v>46732</v>
      </c>
      <c r="E44" s="8">
        <f>+'422 Maintenance'!E39</f>
        <v>75705.59</v>
      </c>
      <c r="F44" s="8">
        <f>+'422 Maintenance'!F39</f>
        <v>71319.490000000005</v>
      </c>
      <c r="G44" s="8">
        <f>+'422 Maintenance'!G39</f>
        <v>70335.48</v>
      </c>
      <c r="H44" s="8">
        <f>+'422 Maintenance'!H39</f>
        <v>78729.27</v>
      </c>
      <c r="I44" s="8">
        <f>+'422 Maintenance'!I39</f>
        <v>89573.71</v>
      </c>
      <c r="J44" s="8">
        <f>+'422 Maintenance'!J39</f>
        <v>93738.67</v>
      </c>
      <c r="K44" s="32">
        <f>+'422 Maintenance'!K39</f>
        <v>80000</v>
      </c>
      <c r="L44" s="8">
        <f>+'422 Maintenance'!L39</f>
        <v>79364.2</v>
      </c>
      <c r="M44" s="32">
        <f>+'422 Maintenance'!M39</f>
        <v>85000</v>
      </c>
      <c r="N44" s="8">
        <f>+'422 Maintenance'!N39</f>
        <v>96232.29</v>
      </c>
      <c r="O44" s="32">
        <f>+'422 Maintenance'!O39</f>
        <v>85000</v>
      </c>
      <c r="P44" s="8">
        <f>+'422 Maintenance'!P39</f>
        <v>42429.88</v>
      </c>
      <c r="Q44" s="32">
        <f>+'422 Maintenance'!Q39</f>
        <v>85000</v>
      </c>
      <c r="R44" s="32">
        <f>+'422 Maintenance'!R39</f>
        <v>0</v>
      </c>
      <c r="S44" s="32">
        <f>+'422 Maintenance'!S39</f>
        <v>0</v>
      </c>
    </row>
    <row r="45" spans="1:19" x14ac:dyDescent="0.25">
      <c r="A45" s="224">
        <v>5500</v>
      </c>
      <c r="B45" s="7" t="s">
        <v>162</v>
      </c>
      <c r="C45" s="8">
        <f>+'422 Maintenance'!C40</f>
        <v>0</v>
      </c>
      <c r="D45" s="8">
        <f>+'422 Maintenance'!D40</f>
        <v>0</v>
      </c>
      <c r="E45" s="8">
        <f>+'422 Maintenance'!E40</f>
        <v>11.94</v>
      </c>
      <c r="F45" s="8">
        <f>+'422 Maintenance'!F40</f>
        <v>0</v>
      </c>
      <c r="G45" s="8">
        <f>+'422 Maintenance'!G40</f>
        <v>0</v>
      </c>
      <c r="H45" s="8">
        <f>+'422 Maintenance'!H40</f>
        <v>0</v>
      </c>
      <c r="I45" s="8">
        <f>+'422 Maintenance'!I40</f>
        <v>127.13</v>
      </c>
      <c r="J45" s="8">
        <f>+'422 Maintenance'!J40</f>
        <v>947.82</v>
      </c>
      <c r="K45" s="32">
        <f>+'422 Maintenance'!K40</f>
        <v>150</v>
      </c>
      <c r="L45" s="8">
        <f>+'422 Maintenance'!L40</f>
        <v>381.74</v>
      </c>
      <c r="M45" s="32">
        <f>+'422 Maintenance'!M40</f>
        <v>150</v>
      </c>
      <c r="N45" s="8">
        <f>+'422 Maintenance'!N40</f>
        <v>219.17</v>
      </c>
      <c r="O45" s="32">
        <f>+'422 Maintenance'!O40</f>
        <v>150</v>
      </c>
      <c r="P45" s="8">
        <f>+'422 Maintenance'!P40</f>
        <v>163.53</v>
      </c>
      <c r="Q45" s="32">
        <f>+'422 Maintenance'!Q40</f>
        <v>200</v>
      </c>
      <c r="R45" s="32">
        <f>+'422 Maintenance'!R40</f>
        <v>0</v>
      </c>
      <c r="S45" s="32">
        <f>+'422 Maintenance'!S40</f>
        <v>0</v>
      </c>
    </row>
    <row r="46" spans="1:19" x14ac:dyDescent="0.25">
      <c r="A46" s="224">
        <v>5530</v>
      </c>
      <c r="B46" s="7" t="s">
        <v>163</v>
      </c>
      <c r="C46" s="8">
        <f>+'422 Maintenance'!C41</f>
        <v>43029.4</v>
      </c>
      <c r="D46" s="8">
        <f>+'422 Maintenance'!D41</f>
        <v>45445.69</v>
      </c>
      <c r="E46" s="8">
        <f>+'422 Maintenance'!E41</f>
        <v>36322.94</v>
      </c>
      <c r="F46" s="8">
        <f>+'422 Maintenance'!F41</f>
        <v>43379.03</v>
      </c>
      <c r="G46" s="8">
        <f>+'422 Maintenance'!G41</f>
        <v>24572.81</v>
      </c>
      <c r="H46" s="8">
        <f>+'422 Maintenance'!H41</f>
        <v>31418.53</v>
      </c>
      <c r="I46" s="8">
        <f>+'422 Maintenance'!I41</f>
        <v>30491.41</v>
      </c>
      <c r="J46" s="8">
        <f>+'422 Maintenance'!J41</f>
        <v>29182.49</v>
      </c>
      <c r="K46" s="32">
        <f>+'422 Maintenance'!K41</f>
        <v>55000</v>
      </c>
      <c r="L46" s="8">
        <f>+'422 Maintenance'!L41</f>
        <v>47021.23</v>
      </c>
      <c r="M46" s="32">
        <f>+'422 Maintenance'!M41</f>
        <v>55000</v>
      </c>
      <c r="N46" s="8">
        <f>+'422 Maintenance'!N41</f>
        <v>63954.71</v>
      </c>
      <c r="O46" s="32">
        <f>+'422 Maintenance'!O41</f>
        <v>71500</v>
      </c>
      <c r="P46" s="8">
        <f>+'422 Maintenance'!P41</f>
        <v>32583.87</v>
      </c>
      <c r="Q46" s="32">
        <f>+'422 Maintenance'!Q41</f>
        <v>71500</v>
      </c>
      <c r="R46" s="32">
        <f>+'422 Maintenance'!R41</f>
        <v>0</v>
      </c>
      <c r="S46" s="103">
        <f>+'422 Maintenance'!S41</f>
        <v>0</v>
      </c>
    </row>
    <row r="47" spans="1:19" x14ac:dyDescent="0.25">
      <c r="A47" s="224">
        <v>5534</v>
      </c>
      <c r="B47" s="7" t="s">
        <v>164</v>
      </c>
      <c r="C47" s="8">
        <f>+'422 Maintenance'!C42</f>
        <v>125</v>
      </c>
      <c r="D47" s="8">
        <f>+'422 Maintenance'!D42</f>
        <v>0</v>
      </c>
      <c r="E47" s="8">
        <f>+'422 Maintenance'!E42</f>
        <v>0</v>
      </c>
      <c r="F47" s="8">
        <f>+'422 Maintenance'!F42</f>
        <v>0</v>
      </c>
      <c r="G47" s="8">
        <f>+'422 Maintenance'!G42</f>
        <v>0</v>
      </c>
      <c r="H47" s="8">
        <f>+'422 Maintenance'!H42</f>
        <v>0</v>
      </c>
      <c r="I47" s="8">
        <f>+'422 Maintenance'!I42</f>
        <v>0</v>
      </c>
      <c r="J47" s="8">
        <f>+'422 Maintenance'!J42</f>
        <v>0</v>
      </c>
      <c r="K47" s="32">
        <f>+'422 Maintenance'!K42</f>
        <v>0</v>
      </c>
      <c r="L47" s="8">
        <f>+'422 Maintenance'!L42</f>
        <v>0</v>
      </c>
      <c r="M47" s="32">
        <f>+'422 Maintenance'!M42</f>
        <v>0</v>
      </c>
      <c r="N47" s="8">
        <f>+'422 Maintenance'!N42</f>
        <v>0</v>
      </c>
      <c r="O47" s="32">
        <f>+'422 Maintenance'!O42</f>
        <v>0</v>
      </c>
      <c r="P47" s="8">
        <f>+'422 Maintenance'!P42</f>
        <v>0</v>
      </c>
      <c r="Q47" s="32">
        <f>+'422 Maintenance'!Q42</f>
        <v>0</v>
      </c>
      <c r="R47" s="32">
        <f>+'422 Maintenance'!R42</f>
        <v>0</v>
      </c>
      <c r="S47" s="32">
        <f>+'422 Maintenance'!S42</f>
        <v>0</v>
      </c>
    </row>
    <row r="48" spans="1:19" x14ac:dyDescent="0.25">
      <c r="A48" s="224">
        <v>5580</v>
      </c>
      <c r="B48" s="7" t="s">
        <v>44</v>
      </c>
      <c r="C48" s="8"/>
      <c r="D48" s="8"/>
      <c r="E48" s="8"/>
      <c r="F48" s="8"/>
      <c r="G48" s="8"/>
      <c r="H48" s="8">
        <f>+'422 Maintenance'!H43</f>
        <v>0</v>
      </c>
      <c r="I48" s="8">
        <f>+'422 Maintenance'!I43</f>
        <v>12646.36</v>
      </c>
      <c r="J48" s="8">
        <f>+'422 Maintenance'!J43</f>
        <v>0</v>
      </c>
      <c r="K48" s="8">
        <f>+'422 Maintenance'!K43</f>
        <v>0</v>
      </c>
      <c r="L48" s="8">
        <f>+'422 Maintenance'!L43</f>
        <v>0</v>
      </c>
      <c r="M48" s="8">
        <f>+'422 Maintenance'!M43</f>
        <v>0</v>
      </c>
      <c r="N48" s="8">
        <f>+'422 Maintenance'!N43</f>
        <v>0</v>
      </c>
      <c r="O48" s="8">
        <f>+'422 Maintenance'!O43</f>
        <v>0</v>
      </c>
      <c r="P48" s="8">
        <f>+'422 Maintenance'!P43</f>
        <v>0</v>
      </c>
      <c r="Q48" s="8">
        <f>+'422 Maintenance'!Q43</f>
        <v>0</v>
      </c>
      <c r="R48" s="8">
        <f>+'422 Maintenance'!R43</f>
        <v>0</v>
      </c>
      <c r="S48" s="32"/>
    </row>
    <row r="49" spans="1:25" x14ac:dyDescent="0.25">
      <c r="A49" s="224">
        <v>5582</v>
      </c>
      <c r="B49" s="7" t="s">
        <v>131</v>
      </c>
      <c r="C49" s="8">
        <f>+'422 Maintenance'!C44</f>
        <v>2596.34</v>
      </c>
      <c r="D49" s="8">
        <f>+'422 Maintenance'!D44</f>
        <v>2080.9699999999998</v>
      </c>
      <c r="E49" s="8">
        <f>+'422 Maintenance'!E44</f>
        <v>3880.7</v>
      </c>
      <c r="F49" s="8">
        <f>+'422 Maintenance'!F44</f>
        <v>4245.47</v>
      </c>
      <c r="G49" s="8">
        <f>+'422 Maintenance'!G44</f>
        <v>4901.04</v>
      </c>
      <c r="H49" s="8">
        <f>+'422 Maintenance'!H44</f>
        <v>5798.09</v>
      </c>
      <c r="I49" s="8">
        <f>+'422 Maintenance'!I44</f>
        <v>5887.39</v>
      </c>
      <c r="J49" s="8">
        <f>+'422 Maintenance'!J44</f>
        <v>12423.84</v>
      </c>
      <c r="K49" s="32">
        <f>+'422 Maintenance'!K44</f>
        <v>14000</v>
      </c>
      <c r="L49" s="8">
        <f>+'422 Maintenance'!L44</f>
        <v>13865.13</v>
      </c>
      <c r="M49" s="32">
        <f>+'422 Maintenance'!M44</f>
        <v>14000</v>
      </c>
      <c r="N49" s="8">
        <f>+'422 Maintenance'!N44</f>
        <v>16235.69</v>
      </c>
      <c r="O49" s="32">
        <f>+'422 Maintenance'!O44</f>
        <v>15500</v>
      </c>
      <c r="P49" s="8">
        <f>+'422 Maintenance'!P44</f>
        <v>7080.56</v>
      </c>
      <c r="Q49" s="32">
        <f>+'422 Maintenance'!Q44</f>
        <v>15500</v>
      </c>
      <c r="R49" s="32">
        <f>+'422 Maintenance'!R44</f>
        <v>0</v>
      </c>
      <c r="S49" s="32">
        <f>+'422 Maintenance'!S44</f>
        <v>0</v>
      </c>
      <c r="X49" s="101"/>
    </row>
    <row r="50" spans="1:25" x14ac:dyDescent="0.25">
      <c r="A50" s="224">
        <v>5588</v>
      </c>
      <c r="B50" s="7" t="s">
        <v>165</v>
      </c>
      <c r="C50" s="8">
        <f>+'422 Maintenance'!C45</f>
        <v>0</v>
      </c>
      <c r="D50" s="8">
        <f>+'422 Maintenance'!D45</f>
        <v>0</v>
      </c>
      <c r="E50" s="8">
        <f>+'422 Maintenance'!E45</f>
        <v>0</v>
      </c>
      <c r="F50" s="8">
        <f>+'422 Maintenance'!F45</f>
        <v>0</v>
      </c>
      <c r="G50" s="8">
        <f>+'422 Maintenance'!G45</f>
        <v>164</v>
      </c>
      <c r="H50" s="8">
        <f>+'422 Maintenance'!H45</f>
        <v>0</v>
      </c>
      <c r="I50" s="8">
        <f>+'422 Maintenance'!I45</f>
        <v>0</v>
      </c>
      <c r="J50" s="8">
        <f>+'422 Maintenance'!J45</f>
        <v>0</v>
      </c>
      <c r="K50" s="32">
        <f>+'422 Maintenance'!K45</f>
        <v>1000</v>
      </c>
      <c r="L50" s="8">
        <f>+'422 Maintenance'!L45</f>
        <v>0</v>
      </c>
      <c r="M50" s="32">
        <f>+'422 Maintenance'!M45</f>
        <v>1000</v>
      </c>
      <c r="N50" s="8">
        <f>+'422 Maintenance'!N45</f>
        <v>0</v>
      </c>
      <c r="O50" s="32">
        <f>+'422 Maintenance'!O45</f>
        <v>500</v>
      </c>
      <c r="P50" s="8">
        <f>+'422 Maintenance'!P45</f>
        <v>0</v>
      </c>
      <c r="Q50" s="32">
        <f>+'422 Maintenance'!Q45</f>
        <v>500</v>
      </c>
      <c r="R50" s="32">
        <f>+'422 Maintenance'!R45</f>
        <v>0</v>
      </c>
      <c r="S50" s="32">
        <f>+'422 Maintenance'!S45</f>
        <v>0</v>
      </c>
      <c r="X50" s="101"/>
    </row>
    <row r="51" spans="1:25" x14ac:dyDescent="0.25">
      <c r="A51" s="224">
        <v>5710</v>
      </c>
      <c r="B51" s="7" t="s">
        <v>45</v>
      </c>
      <c r="C51" s="13">
        <f>+'422 Maintenance'!C46</f>
        <v>44.78</v>
      </c>
      <c r="D51" s="13">
        <f>+'422 Maintenance'!D46</f>
        <v>22.6</v>
      </c>
      <c r="E51" s="13">
        <f>+'422 Maintenance'!E46</f>
        <v>0</v>
      </c>
      <c r="F51" s="13">
        <f>+'422 Maintenance'!F46</f>
        <v>0</v>
      </c>
      <c r="G51" s="13">
        <f>+'422 Maintenance'!G46</f>
        <v>0</v>
      </c>
      <c r="H51" s="13">
        <f>+'422 Maintenance'!H46</f>
        <v>0</v>
      </c>
      <c r="I51" s="13">
        <f>+'422 Maintenance'!I46</f>
        <v>0</v>
      </c>
      <c r="J51" s="13">
        <f>+'422 Maintenance'!J46</f>
        <v>0</v>
      </c>
      <c r="K51" s="26">
        <f>+'422 Maintenance'!K46</f>
        <v>125</v>
      </c>
      <c r="L51" s="13">
        <f>+'422 Maintenance'!L46</f>
        <v>0</v>
      </c>
      <c r="M51" s="26">
        <f>+'422 Maintenance'!M46</f>
        <v>125</v>
      </c>
      <c r="N51" s="13">
        <f>+'422 Maintenance'!N46</f>
        <v>103.9</v>
      </c>
      <c r="O51" s="26">
        <f>+'422 Maintenance'!O46</f>
        <v>125</v>
      </c>
      <c r="P51" s="13">
        <f>+'422 Maintenance'!P46</f>
        <v>0</v>
      </c>
      <c r="Q51" s="26">
        <f>+'422 Maintenance'!Q46</f>
        <v>125</v>
      </c>
      <c r="R51" s="26">
        <f>+'422 Maintenance'!R46</f>
        <v>0</v>
      </c>
      <c r="S51" s="26">
        <f>+'422 Maintenance'!S46</f>
        <v>0</v>
      </c>
      <c r="X51" s="101"/>
    </row>
    <row r="52" spans="1:25" x14ac:dyDescent="0.25">
      <c r="A52" s="224">
        <v>5730</v>
      </c>
      <c r="B52" s="7" t="s">
        <v>166</v>
      </c>
      <c r="C52" s="8">
        <f>+'422 Maintenance'!C47</f>
        <v>361</v>
      </c>
      <c r="D52" s="8">
        <f>+'422 Maintenance'!D47</f>
        <v>233</v>
      </c>
      <c r="E52" s="8">
        <f>+'422 Maintenance'!E47</f>
        <v>381</v>
      </c>
      <c r="F52" s="8">
        <f>+'422 Maintenance'!F47</f>
        <v>381</v>
      </c>
      <c r="G52" s="8">
        <f>+'422 Maintenance'!G47</f>
        <v>356</v>
      </c>
      <c r="H52" s="8">
        <f>+'422 Maintenance'!H47</f>
        <v>125</v>
      </c>
      <c r="I52" s="8">
        <f>+'422 Maintenance'!I47</f>
        <v>125</v>
      </c>
      <c r="J52" s="8">
        <f>+'422 Maintenance'!J47</f>
        <v>125</v>
      </c>
      <c r="K52" s="32">
        <f>+'422 Maintenance'!K47</f>
        <v>500</v>
      </c>
      <c r="L52" s="8">
        <f>+'422 Maintenance'!L47</f>
        <v>431</v>
      </c>
      <c r="M52" s="32">
        <f>+'422 Maintenance'!M47</f>
        <v>500</v>
      </c>
      <c r="N52" s="8">
        <f>+'422 Maintenance'!N47</f>
        <v>850</v>
      </c>
      <c r="O52" s="32">
        <f>+'422 Maintenance'!O47</f>
        <v>500</v>
      </c>
      <c r="P52" s="8">
        <f>+'422 Maintenance'!P47</f>
        <v>1619</v>
      </c>
      <c r="Q52" s="32">
        <f>+'422 Maintenance'!Q47</f>
        <v>500</v>
      </c>
      <c r="R52" s="32">
        <f>+'422 Maintenance'!R47</f>
        <v>0</v>
      </c>
      <c r="S52" s="32">
        <f>+'422 Maintenance'!S47</f>
        <v>0</v>
      </c>
      <c r="X52" s="101"/>
    </row>
    <row r="53" spans="1:25" x14ac:dyDescent="0.25">
      <c r="A53" s="224">
        <v>5783</v>
      </c>
      <c r="B53" s="7" t="s">
        <v>167</v>
      </c>
      <c r="C53" s="8">
        <f>+'422 Maintenance'!C49</f>
        <v>780</v>
      </c>
      <c r="D53" s="8">
        <f>+'422 Maintenance'!D49</f>
        <v>1710</v>
      </c>
      <c r="E53" s="8">
        <f>+'422 Maintenance'!E49</f>
        <v>1440</v>
      </c>
      <c r="F53" s="8">
        <f>+'422 Maintenance'!F49</f>
        <v>724</v>
      </c>
      <c r="G53" s="8">
        <f>+'422 Maintenance'!G49</f>
        <v>567.9</v>
      </c>
      <c r="H53" s="8">
        <f>+'422 Maintenance'!H49</f>
        <v>1328.7</v>
      </c>
      <c r="I53" s="8">
        <f>+'422 Maintenance'!I49</f>
        <v>1056</v>
      </c>
      <c r="J53" s="8">
        <f>+'422 Maintenance'!J49</f>
        <v>1204.95</v>
      </c>
      <c r="K53" s="32">
        <f>+'422 Maintenance'!K49</f>
        <v>1500</v>
      </c>
      <c r="L53" s="8">
        <f>+'422 Maintenance'!L49</f>
        <v>950</v>
      </c>
      <c r="M53" s="32">
        <f>+'422 Maintenance'!M49</f>
        <v>1500</v>
      </c>
      <c r="N53" s="8">
        <f>+'422 Maintenance'!N49</f>
        <v>1025.58</v>
      </c>
      <c r="O53" s="32">
        <f>+'422 Maintenance'!O49</f>
        <v>1500</v>
      </c>
      <c r="P53" s="8">
        <f>+'422 Maintenance'!P49</f>
        <v>531.53</v>
      </c>
      <c r="Q53" s="32">
        <f>+'422 Maintenance'!Q49</f>
        <v>1500</v>
      </c>
      <c r="R53" s="32">
        <f>+'422 Maintenance'!R49</f>
        <v>1500</v>
      </c>
      <c r="S53" s="32">
        <f>+'422 Maintenance'!S49</f>
        <v>0</v>
      </c>
      <c r="X53" s="101"/>
    </row>
    <row r="54" spans="1:25" ht="13.8" thickBot="1" x14ac:dyDescent="0.3">
      <c r="A54" s="224"/>
      <c r="B54" s="7" t="s">
        <v>132</v>
      </c>
      <c r="C54" s="10"/>
      <c r="D54" s="10"/>
      <c r="E54" s="10"/>
      <c r="F54" s="10"/>
      <c r="G54" s="10"/>
      <c r="H54" s="10"/>
      <c r="I54" s="10"/>
      <c r="J54" s="10"/>
      <c r="K54" s="33"/>
      <c r="L54" s="10">
        <f>+'192 Public Bldgs'!L20+'422 Maintenance'!L48+'652 Parks'!L15</f>
        <v>7263.85</v>
      </c>
      <c r="M54" s="33"/>
      <c r="N54" s="10">
        <f>+'192 Public Bldgs'!N20+'422 Maintenance'!N48+'652 Parks'!N15</f>
        <v>0</v>
      </c>
      <c r="O54" s="33"/>
      <c r="P54" s="10"/>
      <c r="Q54" s="33"/>
      <c r="R54" s="33"/>
      <c r="S54" s="33"/>
      <c r="X54" s="101"/>
    </row>
    <row r="55" spans="1:25" x14ac:dyDescent="0.25">
      <c r="A55" s="224"/>
      <c r="B55" s="12" t="s">
        <v>34</v>
      </c>
      <c r="C55" s="22">
        <f t="shared" ref="C55:Q55" si="5">SUM(C19:C54)</f>
        <v>285136.54000000004</v>
      </c>
      <c r="D55" s="22">
        <f t="shared" si="5"/>
        <v>332717.53999999998</v>
      </c>
      <c r="E55" s="22">
        <f t="shared" si="5"/>
        <v>399597.73000000004</v>
      </c>
      <c r="F55" s="22">
        <f t="shared" si="5"/>
        <v>382107.43999999994</v>
      </c>
      <c r="G55" s="22">
        <f t="shared" si="5"/>
        <v>316782.28999999998</v>
      </c>
      <c r="H55" s="22">
        <f t="shared" si="5"/>
        <v>356131.57000000007</v>
      </c>
      <c r="I55" s="22">
        <f t="shared" si="5"/>
        <v>427074.30000000005</v>
      </c>
      <c r="J55" s="22">
        <f t="shared" ref="J55" si="6">SUM(J19:J54)</f>
        <v>430017.62000000005</v>
      </c>
      <c r="K55" s="91">
        <f t="shared" ref="K55:O55" si="7">SUM(K19:K54)</f>
        <v>473825</v>
      </c>
      <c r="L55" s="22">
        <f t="shared" si="7"/>
        <v>407776.17</v>
      </c>
      <c r="M55" s="91">
        <f t="shared" ref="M55:N55" si="8">SUM(M19:M54)</f>
        <v>496075</v>
      </c>
      <c r="N55" s="22">
        <f t="shared" si="8"/>
        <v>432058.60000000003</v>
      </c>
      <c r="O55" s="91">
        <f t="shared" si="7"/>
        <v>533175</v>
      </c>
      <c r="P55" s="22">
        <f t="shared" si="5"/>
        <v>205234.53</v>
      </c>
      <c r="Q55" s="91">
        <f t="shared" si="5"/>
        <v>569365</v>
      </c>
      <c r="R55" s="91">
        <f>+Q55</f>
        <v>569365</v>
      </c>
      <c r="S55" s="91">
        <f>+Q55</f>
        <v>569365</v>
      </c>
      <c r="U55">
        <f>+Q55-K55</f>
        <v>95540</v>
      </c>
      <c r="X55" s="101"/>
    </row>
    <row r="56" spans="1:25" x14ac:dyDescent="0.25">
      <c r="A56" s="224"/>
      <c r="B56" s="12"/>
      <c r="C56" s="22"/>
      <c r="D56" s="22"/>
      <c r="E56" s="22"/>
      <c r="F56" s="8"/>
      <c r="G56" s="8"/>
      <c r="H56" s="8"/>
      <c r="I56" s="8"/>
      <c r="J56" s="8"/>
      <c r="K56" s="32"/>
      <c r="L56" s="8"/>
      <c r="M56" s="32"/>
      <c r="N56" s="8"/>
      <c r="O56" s="32"/>
      <c r="P56" s="8"/>
      <c r="Q56" s="32"/>
      <c r="R56" s="32"/>
      <c r="S56" s="32"/>
      <c r="X56" s="101"/>
    </row>
    <row r="57" spans="1:25" ht="13.8" thickBot="1" x14ac:dyDescent="0.3">
      <c r="A57" s="224">
        <v>5800</v>
      </c>
      <c r="B57" s="7" t="s">
        <v>168</v>
      </c>
      <c r="C57" s="22"/>
      <c r="D57" s="22"/>
      <c r="E57" s="22"/>
      <c r="F57" s="10"/>
      <c r="G57" s="10"/>
      <c r="H57" s="10"/>
      <c r="I57" s="10">
        <f>+'422 Maintenance'!I52</f>
        <v>21320.41</v>
      </c>
      <c r="J57" s="10">
        <f>+'422 Maintenance'!J52</f>
        <v>21320.41</v>
      </c>
      <c r="K57" s="33">
        <f>+'422 Maintenance'!K52</f>
        <v>24090</v>
      </c>
      <c r="L57" s="10">
        <f>+'422 Maintenance'!L52</f>
        <v>21320.41</v>
      </c>
      <c r="M57" s="33">
        <f>+'422 Maintenance'!M52</f>
        <v>21321</v>
      </c>
      <c r="N57" s="10">
        <f>+'422 Maintenance'!N52</f>
        <v>21320.41</v>
      </c>
      <c r="O57" s="33">
        <f>+'422 Maintenance'!O52</f>
        <v>0</v>
      </c>
      <c r="P57" s="33">
        <f>+'422 Maintenance'!P52</f>
        <v>0</v>
      </c>
      <c r="Q57" s="33">
        <f>+'422 Maintenance'!Q53</f>
        <v>0</v>
      </c>
      <c r="R57" s="33">
        <f>+Q57</f>
        <v>0</v>
      </c>
      <c r="S57" s="33">
        <f>+'422 Maintenance'!S53</f>
        <v>0</v>
      </c>
      <c r="X57" s="101"/>
    </row>
    <row r="58" spans="1:25" x14ac:dyDescent="0.25">
      <c r="A58" s="224"/>
      <c r="B58" s="12" t="s">
        <v>61</v>
      </c>
      <c r="C58" s="22"/>
      <c r="D58" s="22"/>
      <c r="E58" s="22"/>
      <c r="F58" s="13"/>
      <c r="G58" s="13"/>
      <c r="H58" s="13"/>
      <c r="I58" s="13">
        <f>+I57</f>
        <v>21320.41</v>
      </c>
      <c r="J58" s="13">
        <f>+J57</f>
        <v>21320.41</v>
      </c>
      <c r="K58" s="26">
        <f>+K57</f>
        <v>24090</v>
      </c>
      <c r="L58" s="13">
        <f t="shared" ref="L58:O58" si="9">+L57</f>
        <v>21320.41</v>
      </c>
      <c r="M58" s="26">
        <f>+M57</f>
        <v>21321</v>
      </c>
      <c r="N58" s="13">
        <f t="shared" ref="N58" si="10">+N57</f>
        <v>21320.41</v>
      </c>
      <c r="O58" s="26">
        <f t="shared" si="9"/>
        <v>0</v>
      </c>
      <c r="P58" s="13">
        <f>+P57</f>
        <v>0</v>
      </c>
      <c r="Q58" s="26">
        <f>+Q57</f>
        <v>0</v>
      </c>
      <c r="R58" s="26">
        <f>+R57</f>
        <v>0</v>
      </c>
      <c r="S58" s="26">
        <f>+Q58</f>
        <v>0</v>
      </c>
      <c r="X58" s="101"/>
    </row>
    <row r="59" spans="1:25" x14ac:dyDescent="0.25">
      <c r="A59" s="224"/>
      <c r="B59" s="7"/>
      <c r="C59" s="27"/>
      <c r="D59" s="27"/>
      <c r="E59" s="27"/>
      <c r="F59" s="27"/>
      <c r="G59" s="27"/>
      <c r="H59" s="27"/>
      <c r="I59" s="27"/>
      <c r="J59" s="27"/>
      <c r="K59" s="59"/>
      <c r="L59" s="27"/>
      <c r="M59" s="59"/>
      <c r="N59" s="27"/>
      <c r="O59" s="59"/>
      <c r="P59" s="27"/>
      <c r="Q59" s="59"/>
      <c r="R59" s="59"/>
      <c r="S59" s="59"/>
      <c r="X59" s="101"/>
    </row>
    <row r="60" spans="1:25" ht="13.8" thickBot="1" x14ac:dyDescent="0.3">
      <c r="A60" s="225"/>
      <c r="B60" s="15" t="s">
        <v>63</v>
      </c>
      <c r="C60" s="16">
        <f t="shared" ref="C60:H60" si="11">+C55+C17</f>
        <v>961847.43</v>
      </c>
      <c r="D60" s="16">
        <f t="shared" si="11"/>
        <v>1059583.8599999999</v>
      </c>
      <c r="E60" s="16">
        <f t="shared" si="11"/>
        <v>1131643.6700000004</v>
      </c>
      <c r="F60" s="16">
        <f t="shared" si="11"/>
        <v>1126607.77</v>
      </c>
      <c r="G60" s="16">
        <f t="shared" si="11"/>
        <v>1120246.68</v>
      </c>
      <c r="H60" s="16">
        <f t="shared" si="11"/>
        <v>1203442.93</v>
      </c>
      <c r="I60" s="16">
        <f t="shared" ref="I60:S60" si="12">+I55+I17+I58</f>
        <v>1313961.4099999999</v>
      </c>
      <c r="J60" s="16">
        <f t="shared" si="12"/>
        <v>1376050.41</v>
      </c>
      <c r="K60" s="31">
        <f t="shared" si="12"/>
        <v>1465498</v>
      </c>
      <c r="L60" s="16">
        <f t="shared" ref="L60:O60" si="13">+L55+L17+L58</f>
        <v>1375179.96</v>
      </c>
      <c r="M60" s="31">
        <f t="shared" si="13"/>
        <v>1540146</v>
      </c>
      <c r="N60" s="16">
        <f t="shared" ref="N60" si="14">+N55+N17+N58</f>
        <v>1419474.49</v>
      </c>
      <c r="O60" s="31">
        <f t="shared" si="13"/>
        <v>1571829</v>
      </c>
      <c r="P60" s="191">
        <f t="shared" si="12"/>
        <v>682699.92</v>
      </c>
      <c r="Q60" s="31">
        <f t="shared" si="12"/>
        <v>1718362.8</v>
      </c>
      <c r="R60" s="31">
        <f t="shared" ref="R60" si="15">+R55+R17+R58</f>
        <v>1718362.8</v>
      </c>
      <c r="S60" s="31">
        <f t="shared" si="12"/>
        <v>1718362.8</v>
      </c>
      <c r="X60" s="101"/>
    </row>
    <row r="61" spans="1:25" ht="16.2" thickTop="1" x14ac:dyDescent="0.3">
      <c r="A61" s="219"/>
      <c r="B61" s="3"/>
      <c r="C61" s="39"/>
      <c r="D61" s="18"/>
      <c r="E61" s="18"/>
      <c r="F61" s="18"/>
      <c r="G61" s="18"/>
      <c r="H61" s="18"/>
      <c r="I61" s="18"/>
      <c r="J61" s="18"/>
      <c r="K61" s="18"/>
      <c r="L61" s="18"/>
      <c r="M61" s="18"/>
      <c r="N61" s="18"/>
      <c r="O61" s="18"/>
      <c r="P61" s="94" t="s">
        <v>37</v>
      </c>
      <c r="Q61" s="278">
        <f>+Q60-O60</f>
        <v>146533.80000000005</v>
      </c>
      <c r="R61" s="279">
        <f>ROUND((+Q61/O60),4)</f>
        <v>9.3200000000000005E-2</v>
      </c>
      <c r="S61" s="136"/>
      <c r="T61" s="18"/>
      <c r="U61" s="20"/>
      <c r="V61" s="95"/>
      <c r="W61" s="20"/>
      <c r="X61" s="20"/>
      <c r="Y61" s="20"/>
    </row>
    <row r="62" spans="1:25" x14ac:dyDescent="0.25">
      <c r="A62" s="219"/>
      <c r="B62" s="3"/>
      <c r="C62" s="39"/>
      <c r="D62" s="18"/>
      <c r="E62" s="18"/>
      <c r="F62" s="18"/>
      <c r="G62" s="18"/>
      <c r="H62" s="18"/>
      <c r="I62" s="18"/>
      <c r="J62" s="18"/>
      <c r="K62" s="18"/>
      <c r="L62" s="18"/>
      <c r="M62" s="18"/>
      <c r="N62" s="18"/>
      <c r="O62" s="18"/>
      <c r="P62" s="18"/>
      <c r="Q62" s="124"/>
      <c r="R62" s="124"/>
      <c r="S62" s="192"/>
      <c r="T62" s="20"/>
      <c r="U62" s="20"/>
      <c r="V62" s="20"/>
      <c r="W62" s="20"/>
      <c r="X62" s="20"/>
      <c r="Y62" s="20"/>
    </row>
    <row r="63" spans="1:25" x14ac:dyDescent="0.25">
      <c r="A63" s="219"/>
      <c r="B63" s="3"/>
      <c r="C63" s="39"/>
      <c r="D63" s="18"/>
      <c r="E63" s="18"/>
      <c r="F63" s="18"/>
      <c r="G63" s="18"/>
      <c r="H63" s="18"/>
      <c r="I63" s="18"/>
      <c r="J63" s="18"/>
      <c r="K63" s="18"/>
      <c r="L63" s="18"/>
      <c r="M63" s="18"/>
      <c r="N63" s="18"/>
      <c r="O63" s="18"/>
      <c r="P63" s="18"/>
      <c r="Q63" s="18"/>
      <c r="R63" s="18"/>
      <c r="S63" s="18"/>
      <c r="T63" s="18"/>
      <c r="U63" s="20"/>
      <c r="V63" s="20"/>
      <c r="W63" s="20"/>
      <c r="X63" s="20"/>
      <c r="Y63" s="20"/>
    </row>
    <row r="64" spans="1:25" x14ac:dyDescent="0.25">
      <c r="A64" s="219"/>
      <c r="B64" s="3"/>
      <c r="C64" s="39"/>
      <c r="D64" s="18"/>
      <c r="E64" s="18"/>
      <c r="F64" s="18"/>
      <c r="G64" s="18"/>
      <c r="H64" s="18"/>
      <c r="I64" s="18"/>
      <c r="J64" s="18"/>
      <c r="K64" s="18"/>
      <c r="L64" s="18"/>
      <c r="M64" s="18"/>
      <c r="N64" s="18"/>
      <c r="O64" s="18"/>
      <c r="P64" s="18"/>
      <c r="Q64" s="18"/>
      <c r="R64" s="18"/>
      <c r="S64" s="18"/>
      <c r="T64" s="18"/>
      <c r="U64" s="20"/>
      <c r="V64" s="20"/>
      <c r="W64" s="20"/>
      <c r="X64" s="20"/>
      <c r="Y64" s="20"/>
    </row>
    <row r="65" spans="1:25" x14ac:dyDescent="0.25">
      <c r="A65" s="219"/>
      <c r="B65" s="3"/>
      <c r="C65" s="18"/>
      <c r="D65" s="18"/>
      <c r="E65" s="18"/>
      <c r="F65" s="18"/>
      <c r="G65" s="18"/>
      <c r="H65" s="18"/>
      <c r="I65" s="18"/>
      <c r="J65" s="18"/>
      <c r="K65" s="18"/>
      <c r="L65" s="18"/>
      <c r="M65" s="18"/>
      <c r="N65" s="18"/>
      <c r="O65" s="18"/>
      <c r="P65" s="18"/>
      <c r="Q65" s="18"/>
      <c r="R65" s="18"/>
      <c r="S65" s="18"/>
      <c r="T65" s="18"/>
      <c r="U65" s="20"/>
      <c r="V65" s="20"/>
      <c r="W65" s="20"/>
      <c r="X65" s="20"/>
      <c r="Y65" s="20"/>
    </row>
    <row r="66" spans="1:25" ht="13.8" thickBot="1" x14ac:dyDescent="0.3">
      <c r="A66" s="219" t="s">
        <v>58</v>
      </c>
      <c r="B66" s="3"/>
      <c r="C66" s="99"/>
      <c r="D66" s="1"/>
      <c r="E66" s="1"/>
      <c r="F66" s="1"/>
      <c r="G66" s="1"/>
      <c r="H66" s="1"/>
      <c r="I66" s="1"/>
      <c r="J66" s="1"/>
      <c r="K66" s="1"/>
      <c r="L66" s="1"/>
      <c r="M66" s="1"/>
      <c r="N66" s="1"/>
      <c r="O66" s="1"/>
      <c r="P66"/>
      <c r="Q66" t="s">
        <v>0</v>
      </c>
      <c r="R66" t="s">
        <v>55</v>
      </c>
      <c r="S66" s="101" t="s">
        <v>169</v>
      </c>
      <c r="X66" s="101"/>
    </row>
    <row r="67" spans="1:25" ht="13.8" thickTop="1" x14ac:dyDescent="0.25">
      <c r="A67" s="226" t="s">
        <v>47</v>
      </c>
      <c r="B67" s="62"/>
      <c r="D67" s="99"/>
      <c r="E67" s="99"/>
      <c r="F67" s="99"/>
      <c r="G67" s="99"/>
      <c r="H67" s="99"/>
      <c r="I67" s="99"/>
      <c r="J67" s="99"/>
      <c r="K67" s="99"/>
      <c r="L67" s="99"/>
      <c r="M67" s="118" t="s">
        <v>48</v>
      </c>
      <c r="N67" s="82" t="s">
        <v>49</v>
      </c>
      <c r="O67" s="88" t="s">
        <v>135</v>
      </c>
      <c r="P67" s="88" t="s">
        <v>50</v>
      </c>
      <c r="Q67"/>
      <c r="R67" s="98"/>
      <c r="S67" s="20"/>
      <c r="X67" s="101"/>
    </row>
    <row r="68" spans="1:25" ht="13.8" thickBot="1" x14ac:dyDescent="0.3">
      <c r="A68" s="227" t="s">
        <v>51</v>
      </c>
      <c r="B68" s="63" t="s">
        <v>52</v>
      </c>
      <c r="D68" s="99"/>
      <c r="E68" s="99"/>
      <c r="F68" s="99"/>
      <c r="G68" s="99"/>
      <c r="H68" s="99"/>
      <c r="I68" s="99"/>
      <c r="J68" s="99"/>
      <c r="K68" s="99"/>
      <c r="L68" s="99"/>
      <c r="M68" s="126">
        <v>45108</v>
      </c>
      <c r="N68" s="83" t="s">
        <v>53</v>
      </c>
      <c r="O68" s="84" t="s">
        <v>62</v>
      </c>
      <c r="P68" s="84" t="s">
        <v>54</v>
      </c>
      <c r="Q68"/>
      <c r="R68" s="101"/>
      <c r="S68" s="3"/>
      <c r="X68" s="101"/>
    </row>
    <row r="69" spans="1:25" ht="13.8" thickTop="1" x14ac:dyDescent="0.25">
      <c r="A69" s="251"/>
      <c r="B69" s="273" t="s">
        <v>320</v>
      </c>
      <c r="D69" s="99"/>
      <c r="E69" s="99"/>
      <c r="F69" s="99"/>
      <c r="G69" s="99"/>
      <c r="H69" s="99"/>
      <c r="I69" s="99"/>
      <c r="J69" s="99"/>
      <c r="K69" s="99"/>
      <c r="L69" s="99"/>
      <c r="M69" s="61" t="s">
        <v>170</v>
      </c>
      <c r="N69" s="87"/>
      <c r="O69" s="18"/>
      <c r="P69" s="81">
        <f>+'NAGE &amp; Non-Union Wages'!L12</f>
        <v>102672</v>
      </c>
      <c r="Q69" s="207"/>
      <c r="R69" s="251">
        <v>38021</v>
      </c>
      <c r="S69" s="253">
        <v>20</v>
      </c>
      <c r="X69" s="101"/>
    </row>
    <row r="70" spans="1:25" x14ac:dyDescent="0.25">
      <c r="A70" s="251"/>
      <c r="B70" s="48" t="s">
        <v>321</v>
      </c>
      <c r="D70" s="99"/>
      <c r="E70" s="99"/>
      <c r="F70" s="99"/>
      <c r="G70" s="99"/>
      <c r="H70" s="99"/>
      <c r="I70" s="99"/>
      <c r="J70" s="99"/>
      <c r="K70" s="99"/>
      <c r="L70" s="99"/>
      <c r="M70" s="61" t="s">
        <v>171</v>
      </c>
      <c r="N70" s="87">
        <f>+'NAGE &amp; Non-Union Wages'!I8</f>
        <v>28.16</v>
      </c>
      <c r="O70" s="20">
        <v>2080</v>
      </c>
      <c r="P70" s="81">
        <f t="shared" ref="P70:P89" si="16">ROUND((+N70*O70),2)</f>
        <v>58572.800000000003</v>
      </c>
      <c r="Q70" s="258"/>
      <c r="R70" s="251">
        <v>44410</v>
      </c>
      <c r="S70" s="253">
        <v>2</v>
      </c>
      <c r="X70" s="101"/>
    </row>
    <row r="71" spans="1:25" x14ac:dyDescent="0.25">
      <c r="A71" s="251"/>
      <c r="B71" s="48" t="s">
        <v>322</v>
      </c>
      <c r="D71" s="99"/>
      <c r="E71" s="99"/>
      <c r="F71" s="99"/>
      <c r="G71" s="99"/>
      <c r="H71" s="99"/>
      <c r="I71" s="99"/>
      <c r="J71" s="99"/>
      <c r="K71" s="99"/>
      <c r="L71" s="99"/>
      <c r="M71" s="61" t="s">
        <v>172</v>
      </c>
      <c r="N71" s="87">
        <f>+'NAGE &amp; Non-Union Wages'!H19</f>
        <v>33.43</v>
      </c>
      <c r="O71" s="20">
        <v>2080</v>
      </c>
      <c r="P71" s="81">
        <f t="shared" si="16"/>
        <v>69534.399999999994</v>
      </c>
      <c r="Q71" s="258">
        <v>300</v>
      </c>
      <c r="R71" s="251">
        <v>43382</v>
      </c>
      <c r="S71" s="253">
        <v>5</v>
      </c>
      <c r="X71" s="101"/>
    </row>
    <row r="72" spans="1:25" x14ac:dyDescent="0.25">
      <c r="A72" s="251"/>
      <c r="B72" s="48" t="s">
        <v>323</v>
      </c>
      <c r="D72" s="99"/>
      <c r="E72" s="99"/>
      <c r="F72" s="99"/>
      <c r="G72" s="99"/>
      <c r="H72" s="99"/>
      <c r="I72" s="99"/>
      <c r="J72" s="99"/>
      <c r="K72" s="99"/>
      <c r="L72" s="99"/>
      <c r="M72" s="61" t="s">
        <v>173</v>
      </c>
      <c r="N72" s="87">
        <f>+'NAGE &amp; Non-Union Wages'!H8</f>
        <v>27.6</v>
      </c>
      <c r="O72" s="20">
        <v>2080</v>
      </c>
      <c r="P72" s="81">
        <f t="shared" si="16"/>
        <v>57408</v>
      </c>
      <c r="Q72" s="258"/>
      <c r="R72" s="251">
        <v>44360</v>
      </c>
      <c r="S72" s="253"/>
      <c r="X72" s="101"/>
    </row>
    <row r="73" spans="1:25" x14ac:dyDescent="0.25">
      <c r="A73" s="251"/>
      <c r="B73" s="3" t="s">
        <v>324</v>
      </c>
      <c r="D73" s="99"/>
      <c r="E73" s="99"/>
      <c r="F73" s="99"/>
      <c r="G73" s="99"/>
      <c r="H73" s="99"/>
      <c r="I73" s="99"/>
      <c r="J73" s="99"/>
      <c r="K73" s="99"/>
      <c r="L73" s="99"/>
      <c r="M73" s="20" t="s">
        <v>174</v>
      </c>
      <c r="N73" s="87">
        <f>+'UE Wages'!F9</f>
        <v>24.45</v>
      </c>
      <c r="O73" s="20">
        <v>2080</v>
      </c>
      <c r="P73" s="81">
        <f t="shared" si="16"/>
        <v>50856</v>
      </c>
      <c r="Q73" s="207">
        <v>300</v>
      </c>
      <c r="R73" s="251">
        <v>42569</v>
      </c>
      <c r="S73" s="253">
        <v>7</v>
      </c>
      <c r="X73" s="101"/>
    </row>
    <row r="74" spans="1:25" x14ac:dyDescent="0.25">
      <c r="A74" s="251"/>
      <c r="B74" s="185" t="s">
        <v>325</v>
      </c>
      <c r="D74" s="99"/>
      <c r="E74" s="99"/>
      <c r="F74" s="99"/>
      <c r="G74" s="99"/>
      <c r="H74" s="99"/>
      <c r="I74" s="99"/>
      <c r="J74" s="99"/>
      <c r="K74" s="99"/>
      <c r="L74" s="99"/>
      <c r="M74" s="20" t="s">
        <v>175</v>
      </c>
      <c r="N74" s="87">
        <f>+'UE Wages'!L8</f>
        <v>25.52</v>
      </c>
      <c r="O74" s="20">
        <v>2080</v>
      </c>
      <c r="P74" s="81">
        <f t="shared" si="16"/>
        <v>53081.599999999999</v>
      </c>
      <c r="Q74" s="207">
        <v>500</v>
      </c>
      <c r="R74" s="251">
        <v>40574</v>
      </c>
      <c r="S74" s="253">
        <v>13</v>
      </c>
      <c r="X74" s="101"/>
    </row>
    <row r="75" spans="1:25" x14ac:dyDescent="0.25">
      <c r="A75" s="251"/>
      <c r="B75" s="185" t="s">
        <v>326</v>
      </c>
      <c r="D75" s="99"/>
      <c r="E75" s="99"/>
      <c r="F75" s="99"/>
      <c r="G75" s="99"/>
      <c r="H75" s="99"/>
      <c r="I75" s="99"/>
      <c r="J75" s="99"/>
      <c r="K75" s="99"/>
      <c r="L75" s="99"/>
      <c r="M75" s="137" t="s">
        <v>293</v>
      </c>
      <c r="N75" s="18">
        <f>+'UE Wages'!E8</f>
        <v>21.9</v>
      </c>
      <c r="O75" s="20">
        <v>2080</v>
      </c>
      <c r="P75" s="81">
        <f t="shared" si="16"/>
        <v>45552</v>
      </c>
      <c r="Q75" s="258"/>
      <c r="R75" s="267"/>
      <c r="S75" s="253"/>
      <c r="X75" s="101"/>
    </row>
    <row r="76" spans="1:25" x14ac:dyDescent="0.25">
      <c r="A76" s="251"/>
      <c r="B76" s="185" t="s">
        <v>291</v>
      </c>
      <c r="D76" s="99"/>
      <c r="E76" s="99"/>
      <c r="F76" s="99"/>
      <c r="G76" s="99"/>
      <c r="H76" s="99"/>
      <c r="I76" s="99"/>
      <c r="J76" s="99"/>
      <c r="K76" s="99"/>
      <c r="L76" s="99"/>
      <c r="M76" s="20" t="s">
        <v>176</v>
      </c>
      <c r="N76" s="87">
        <f>+'UE Wages'!L6</f>
        <v>20.12</v>
      </c>
      <c r="O76" s="20">
        <v>2080</v>
      </c>
      <c r="P76" s="81">
        <f t="shared" si="16"/>
        <v>41849.599999999999</v>
      </c>
      <c r="Q76" s="258"/>
      <c r="R76" s="251">
        <v>44753</v>
      </c>
      <c r="S76" s="253">
        <v>2</v>
      </c>
      <c r="X76" s="101"/>
    </row>
    <row r="77" spans="1:25" x14ac:dyDescent="0.25">
      <c r="A77" s="251"/>
      <c r="B77" s="186" t="s">
        <v>327</v>
      </c>
      <c r="D77" s="99"/>
      <c r="E77" s="99"/>
      <c r="F77" s="99"/>
      <c r="G77" s="99"/>
      <c r="H77" s="99"/>
      <c r="I77" s="99"/>
      <c r="J77" s="99"/>
      <c r="K77" s="99"/>
      <c r="L77" s="99"/>
      <c r="M77" s="20" t="s">
        <v>177</v>
      </c>
      <c r="N77" s="87">
        <f>+'UE Wages'!G8</f>
        <v>23.01</v>
      </c>
      <c r="O77" s="20">
        <v>2080</v>
      </c>
      <c r="P77" s="81">
        <f t="shared" si="16"/>
        <v>47860.800000000003</v>
      </c>
      <c r="Q77" s="258"/>
      <c r="R77" s="251">
        <v>44459</v>
      </c>
      <c r="S77" s="253">
        <v>2</v>
      </c>
      <c r="X77" s="101"/>
    </row>
    <row r="78" spans="1:25" x14ac:dyDescent="0.25">
      <c r="A78" s="251"/>
      <c r="B78" s="186" t="s">
        <v>328</v>
      </c>
      <c r="C78" s="125"/>
      <c r="D78" s="144"/>
      <c r="E78" s="144"/>
      <c r="F78" s="99"/>
      <c r="G78" s="99"/>
      <c r="H78" s="99"/>
      <c r="I78" s="99"/>
      <c r="J78" s="99"/>
      <c r="K78" s="99"/>
      <c r="L78" s="99"/>
      <c r="M78" s="61" t="s">
        <v>178</v>
      </c>
      <c r="N78" s="87">
        <f>+'UE Wages'!D8</f>
        <v>21.36</v>
      </c>
      <c r="O78" s="20">
        <v>2080</v>
      </c>
      <c r="P78" s="81">
        <f t="shared" si="16"/>
        <v>44428.800000000003</v>
      </c>
      <c r="Q78" s="207"/>
      <c r="R78" s="251">
        <v>44459</v>
      </c>
      <c r="S78" s="253">
        <v>2</v>
      </c>
      <c r="X78" s="101"/>
    </row>
    <row r="79" spans="1:25" x14ac:dyDescent="0.25">
      <c r="A79" s="251"/>
      <c r="B79" s="186" t="s">
        <v>329</v>
      </c>
      <c r="C79" s="125"/>
      <c r="D79" s="144"/>
      <c r="E79" s="144"/>
      <c r="F79" s="99"/>
      <c r="G79" s="99"/>
      <c r="H79" s="99"/>
      <c r="I79" s="99"/>
      <c r="J79" s="99"/>
      <c r="K79" s="99"/>
      <c r="L79" s="99"/>
      <c r="M79" s="20" t="s">
        <v>133</v>
      </c>
      <c r="N79" s="87">
        <f>+'UE Wages'!J9</f>
        <v>26.74</v>
      </c>
      <c r="O79" s="20">
        <v>2080</v>
      </c>
      <c r="P79" s="81">
        <f t="shared" si="16"/>
        <v>55619.199999999997</v>
      </c>
      <c r="Q79" s="207">
        <v>500</v>
      </c>
      <c r="R79" s="251">
        <v>41645</v>
      </c>
      <c r="S79" s="253">
        <v>10</v>
      </c>
      <c r="X79" s="101"/>
    </row>
    <row r="80" spans="1:25" x14ac:dyDescent="0.25">
      <c r="A80" s="251"/>
      <c r="B80" s="184" t="s">
        <v>330</v>
      </c>
      <c r="C80" s="125"/>
      <c r="D80" s="144"/>
      <c r="E80" s="144"/>
      <c r="F80" s="99"/>
      <c r="G80" s="99"/>
      <c r="H80" s="99"/>
      <c r="I80" s="99"/>
      <c r="J80" s="99"/>
      <c r="K80" s="99"/>
      <c r="L80" s="99"/>
      <c r="M80" s="61" t="s">
        <v>179</v>
      </c>
      <c r="N80" s="61">
        <f>+'UE Wages'!E6</f>
        <v>17.27</v>
      </c>
      <c r="O80" s="272">
        <v>780</v>
      </c>
      <c r="P80" s="81">
        <f t="shared" si="16"/>
        <v>13470.6</v>
      </c>
      <c r="Q80" s="207"/>
      <c r="R80" s="251">
        <v>42711</v>
      </c>
      <c r="S80" s="254">
        <v>7</v>
      </c>
      <c r="X80" s="101"/>
    </row>
    <row r="81" spans="1:26" x14ac:dyDescent="0.25">
      <c r="A81" s="251"/>
      <c r="B81" s="3" t="s">
        <v>331</v>
      </c>
      <c r="C81" s="125"/>
      <c r="D81" s="144"/>
      <c r="E81" s="144"/>
      <c r="F81" s="99"/>
      <c r="G81" s="99"/>
      <c r="H81" s="99"/>
      <c r="I81" s="99"/>
      <c r="J81" s="99"/>
      <c r="K81" s="99"/>
      <c r="L81" s="99"/>
      <c r="M81" s="20" t="s">
        <v>174</v>
      </c>
      <c r="N81" s="87"/>
      <c r="O81" s="20">
        <v>2080</v>
      </c>
      <c r="P81" s="81">
        <f t="shared" si="16"/>
        <v>0</v>
      </c>
      <c r="Q81" s="209"/>
      <c r="R81" s="251"/>
      <c r="S81" s="255"/>
      <c r="X81" s="101"/>
    </row>
    <row r="82" spans="1:26" x14ac:dyDescent="0.25">
      <c r="A82" s="251"/>
      <c r="B82" s="3" t="s">
        <v>331</v>
      </c>
      <c r="C82" s="125"/>
      <c r="D82" s="144"/>
      <c r="E82" s="144"/>
      <c r="F82" s="99"/>
      <c r="G82" s="99"/>
      <c r="H82" s="99"/>
      <c r="I82" s="99"/>
      <c r="J82" s="99"/>
      <c r="K82" s="99"/>
      <c r="L82" s="99"/>
      <c r="M82" s="20" t="s">
        <v>174</v>
      </c>
      <c r="N82" s="87">
        <f>+'UE Wages'!F9</f>
        <v>24.45</v>
      </c>
      <c r="O82" s="20">
        <v>2080</v>
      </c>
      <c r="P82" s="81">
        <f t="shared" si="16"/>
        <v>50856</v>
      </c>
      <c r="Q82" s="207">
        <v>300</v>
      </c>
      <c r="R82" s="251">
        <v>42688</v>
      </c>
      <c r="S82" s="253">
        <v>7</v>
      </c>
      <c r="X82" s="101"/>
    </row>
    <row r="83" spans="1:26" x14ac:dyDescent="0.25">
      <c r="A83" s="276"/>
      <c r="B83" s="3" t="s">
        <v>332</v>
      </c>
      <c r="C83" s="125"/>
      <c r="D83" s="144"/>
      <c r="E83" s="144"/>
      <c r="F83" s="99"/>
      <c r="G83" s="99"/>
      <c r="H83" s="99"/>
      <c r="I83" s="99"/>
      <c r="J83" s="99"/>
      <c r="K83" s="99"/>
      <c r="L83" s="99"/>
      <c r="M83" s="20" t="s">
        <v>180</v>
      </c>
      <c r="N83" s="87">
        <f>+'UE Wages'!G9</f>
        <v>25.08</v>
      </c>
      <c r="O83" s="20">
        <v>2080</v>
      </c>
      <c r="P83" s="81">
        <f t="shared" si="16"/>
        <v>52166.400000000001</v>
      </c>
      <c r="Q83" s="258">
        <v>300</v>
      </c>
      <c r="R83" s="252">
        <v>42457</v>
      </c>
      <c r="S83" s="254">
        <v>7</v>
      </c>
      <c r="X83" s="101"/>
    </row>
    <row r="84" spans="1:26" x14ac:dyDescent="0.25">
      <c r="A84" s="276"/>
      <c r="B84" s="3" t="s">
        <v>315</v>
      </c>
      <c r="C84" s="125"/>
      <c r="D84" s="144"/>
      <c r="E84" s="144"/>
      <c r="F84" s="99"/>
      <c r="G84" s="99"/>
      <c r="H84" s="99"/>
      <c r="I84" s="99"/>
      <c r="J84" s="99"/>
      <c r="K84" s="99"/>
      <c r="L84" s="99"/>
      <c r="M84" s="20" t="s">
        <v>314</v>
      </c>
      <c r="N84" s="87">
        <f>+'UE Wages'!F10</f>
        <v>26.4</v>
      </c>
      <c r="O84" s="20">
        <v>2080</v>
      </c>
      <c r="P84" s="81">
        <f t="shared" ref="P84" si="17">ROUND((+N84*O84),2)</f>
        <v>54912</v>
      </c>
      <c r="Q84" s="258">
        <v>300</v>
      </c>
      <c r="R84" s="252"/>
      <c r="S84" s="254"/>
      <c r="X84" s="101"/>
    </row>
    <row r="85" spans="1:26" x14ac:dyDescent="0.25">
      <c r="A85" s="251"/>
      <c r="B85" s="3" t="s">
        <v>182</v>
      </c>
      <c r="C85" s="125"/>
      <c r="D85" s="144"/>
      <c r="E85" s="144"/>
      <c r="F85" s="99"/>
      <c r="G85" s="99"/>
      <c r="H85" s="99"/>
      <c r="I85" s="99"/>
      <c r="J85" s="99"/>
      <c r="K85" s="99"/>
      <c r="L85" s="99"/>
      <c r="M85" s="20" t="s">
        <v>181</v>
      </c>
      <c r="N85" s="87">
        <f>+'UE Wages'!F8</f>
        <v>22.43</v>
      </c>
      <c r="O85" s="20">
        <v>2080</v>
      </c>
      <c r="P85" s="81">
        <f t="shared" si="16"/>
        <v>46654.400000000001</v>
      </c>
      <c r="Q85" s="207">
        <v>300</v>
      </c>
      <c r="R85" s="251">
        <v>43578</v>
      </c>
      <c r="S85" s="253">
        <v>5</v>
      </c>
      <c r="X85" s="101"/>
    </row>
    <row r="86" spans="1:26" x14ac:dyDescent="0.25">
      <c r="A86" s="251"/>
      <c r="B86" s="3" t="s">
        <v>182</v>
      </c>
      <c r="C86" s="125"/>
      <c r="D86" s="144"/>
      <c r="E86" s="144"/>
      <c r="F86" s="144"/>
      <c r="G86" s="144"/>
      <c r="H86" s="144"/>
      <c r="I86" s="144"/>
      <c r="J86" s="144"/>
      <c r="K86" s="144"/>
      <c r="L86" s="144"/>
      <c r="M86" s="94" t="s">
        <v>181</v>
      </c>
      <c r="N86" s="87">
        <f>+'UE Wages'!F8</f>
        <v>22.43</v>
      </c>
      <c r="O86" s="20">
        <v>2080</v>
      </c>
      <c r="P86" s="81">
        <f t="shared" si="16"/>
        <v>46654.400000000001</v>
      </c>
      <c r="Q86" s="258"/>
      <c r="R86" s="251"/>
      <c r="S86" s="253"/>
      <c r="X86" s="101"/>
    </row>
    <row r="87" spans="1:26" x14ac:dyDescent="0.25">
      <c r="A87" s="251"/>
      <c r="B87" s="3" t="s">
        <v>182</v>
      </c>
      <c r="D87" s="99"/>
      <c r="E87" s="99"/>
      <c r="F87" s="99"/>
      <c r="G87" s="99"/>
      <c r="H87" s="99"/>
      <c r="I87" s="99"/>
      <c r="J87" s="99"/>
      <c r="K87" s="99"/>
      <c r="L87" s="99"/>
      <c r="M87" s="20" t="s">
        <v>181</v>
      </c>
      <c r="N87" s="87">
        <f>+'UE Wages'!F8</f>
        <v>22.43</v>
      </c>
      <c r="O87" s="20">
        <v>2080</v>
      </c>
      <c r="P87" s="81">
        <f t="shared" si="16"/>
        <v>46654.400000000001</v>
      </c>
      <c r="Q87" s="207"/>
      <c r="R87" s="251"/>
      <c r="S87" s="253"/>
      <c r="X87" s="101"/>
    </row>
    <row r="88" spans="1:26" x14ac:dyDescent="0.25">
      <c r="A88" s="251"/>
      <c r="B88" s="3" t="s">
        <v>333</v>
      </c>
      <c r="D88" s="99"/>
      <c r="E88" s="99"/>
      <c r="F88" s="99"/>
      <c r="G88" s="99"/>
      <c r="H88" s="99"/>
      <c r="I88" s="99"/>
      <c r="J88" s="99"/>
      <c r="K88" s="99"/>
      <c r="L88" s="99"/>
      <c r="M88" s="20" t="s">
        <v>175</v>
      </c>
      <c r="N88" s="87">
        <f>+'UE Wages'!L8</f>
        <v>25.52</v>
      </c>
      <c r="O88" s="20">
        <v>2080</v>
      </c>
      <c r="P88" s="81">
        <f t="shared" si="16"/>
        <v>53081.599999999999</v>
      </c>
      <c r="Q88" s="207">
        <v>900</v>
      </c>
      <c r="R88" s="251">
        <v>39203</v>
      </c>
      <c r="S88" s="253">
        <v>16</v>
      </c>
      <c r="X88" s="101"/>
    </row>
    <row r="89" spans="1:26" s="3" customFormat="1" x14ac:dyDescent="0.25">
      <c r="A89" s="251"/>
      <c r="B89" s="3" t="s">
        <v>292</v>
      </c>
      <c r="M89" s="3" t="s">
        <v>183</v>
      </c>
      <c r="N89" s="87">
        <f>+'UE Wages'!K8</f>
        <v>25.02</v>
      </c>
      <c r="O89" s="20">
        <v>2080</v>
      </c>
      <c r="P89" s="81">
        <f t="shared" si="16"/>
        <v>52041.599999999999</v>
      </c>
      <c r="Q89" s="209"/>
      <c r="R89" s="251">
        <v>44263</v>
      </c>
      <c r="S89" s="255">
        <v>2</v>
      </c>
      <c r="Z89" s="20"/>
    </row>
    <row r="90" spans="1:26" s="3" customFormat="1" x14ac:dyDescent="0.25">
      <c r="A90" s="251"/>
      <c r="B90" s="3" t="s">
        <v>317</v>
      </c>
      <c r="M90" s="3" t="s">
        <v>318</v>
      </c>
      <c r="N90" s="87">
        <f>+'UE Wages'!G10</f>
        <v>27.06</v>
      </c>
      <c r="O90" s="20">
        <v>1040</v>
      </c>
      <c r="P90" s="81">
        <f t="shared" ref="P90" si="18">ROUND((+N90*O90),2)</f>
        <v>28142.400000000001</v>
      </c>
      <c r="Q90" s="209"/>
      <c r="R90" s="251"/>
      <c r="S90" s="255"/>
      <c r="Z90" s="20"/>
    </row>
    <row r="91" spans="1:26" s="3" customFormat="1" x14ac:dyDescent="0.25">
      <c r="A91" s="251"/>
      <c r="B91" s="3" t="s">
        <v>294</v>
      </c>
      <c r="N91" s="87"/>
      <c r="O91" s="20"/>
      <c r="P91" s="81">
        <v>7200</v>
      </c>
      <c r="Q91" s="209"/>
      <c r="R91" s="251"/>
      <c r="S91" s="255"/>
      <c r="Z91" s="20"/>
    </row>
    <row r="92" spans="1:26" s="3" customFormat="1" x14ac:dyDescent="0.25">
      <c r="A92" s="219"/>
      <c r="B92" s="3" t="s">
        <v>294</v>
      </c>
      <c r="N92" s="87"/>
      <c r="O92" s="20"/>
      <c r="P92" s="81">
        <v>7200</v>
      </c>
      <c r="Q92" s="209"/>
      <c r="R92" s="38"/>
      <c r="S92" s="255"/>
      <c r="Z92" s="20"/>
    </row>
    <row r="93" spans="1:26" s="3" customFormat="1" x14ac:dyDescent="0.25">
      <c r="A93" s="219"/>
      <c r="B93" s="3" t="s">
        <v>294</v>
      </c>
      <c r="N93" s="87"/>
      <c r="O93" s="20"/>
      <c r="P93" s="81">
        <v>7200</v>
      </c>
      <c r="Q93" s="209"/>
      <c r="R93" s="38"/>
      <c r="S93" s="142"/>
      <c r="Z93" s="20"/>
    </row>
    <row r="94" spans="1:26" s="3" customFormat="1" x14ac:dyDescent="0.25">
      <c r="A94" s="219"/>
      <c r="C94" s="18"/>
      <c r="D94" s="18"/>
      <c r="F94" s="18"/>
      <c r="M94" s="18"/>
      <c r="N94" s="18" t="s">
        <v>184</v>
      </c>
      <c r="O94" s="18"/>
      <c r="P94" s="18"/>
      <c r="Q94" s="209">
        <f>SUM(Q69:Q89)</f>
        <v>3700</v>
      </c>
      <c r="R94" s="18"/>
      <c r="S94" s="18"/>
      <c r="Z94" s="20"/>
    </row>
    <row r="95" spans="1:26" s="3" customFormat="1" x14ac:dyDescent="0.25">
      <c r="A95" s="219"/>
      <c r="B95" s="48"/>
      <c r="C95" s="61"/>
      <c r="D95" s="61"/>
      <c r="E95" s="61"/>
      <c r="F95" s="18"/>
      <c r="K95" s="18"/>
      <c r="L95" s="18"/>
      <c r="M95" s="18"/>
      <c r="N95" s="18"/>
      <c r="O95" s="18" t="s">
        <v>1</v>
      </c>
      <c r="P95" s="18">
        <f>SUM(P69:P94)</f>
        <v>1093669</v>
      </c>
      <c r="R95" s="18"/>
      <c r="S95" s="18"/>
      <c r="Z95" s="20"/>
    </row>
    <row r="96" spans="1:26" s="3" customFormat="1" x14ac:dyDescent="0.25">
      <c r="A96" s="219"/>
      <c r="B96" s="48"/>
      <c r="C96" s="61"/>
      <c r="D96" s="61"/>
      <c r="E96" s="61"/>
      <c r="F96" s="18"/>
      <c r="K96" s="18"/>
      <c r="L96" s="18"/>
      <c r="M96" s="18"/>
      <c r="N96" s="18"/>
      <c r="O96" s="18" t="s">
        <v>295</v>
      </c>
      <c r="P96" s="18">
        <f>-P93-P92-P91</f>
        <v>-21600</v>
      </c>
      <c r="R96" s="18"/>
      <c r="S96" s="18"/>
      <c r="Z96" s="20"/>
    </row>
    <row r="97" spans="1:26" s="3" customFormat="1" x14ac:dyDescent="0.25">
      <c r="A97" s="283">
        <v>44950</v>
      </c>
      <c r="B97" s="3" t="s">
        <v>316</v>
      </c>
      <c r="C97" s="18"/>
      <c r="D97" s="87"/>
      <c r="E97" s="87"/>
      <c r="F97" s="20"/>
      <c r="K97" s="20"/>
      <c r="L97" s="20"/>
      <c r="M97" s="20"/>
      <c r="N97" s="20"/>
      <c r="O97" s="216">
        <v>433</v>
      </c>
      <c r="P97" s="81">
        <f>-'433 Solid Waste'!Q10</f>
        <v>-13471</v>
      </c>
      <c r="Z97" s="20"/>
    </row>
    <row r="98" spans="1:26" s="3" customFormat="1" x14ac:dyDescent="0.25">
      <c r="A98" s="45">
        <v>44950</v>
      </c>
      <c r="B98" s="3" t="s">
        <v>319</v>
      </c>
      <c r="C98" s="18"/>
      <c r="D98" s="87"/>
      <c r="E98" s="87"/>
      <c r="F98" s="20"/>
      <c r="H98" s="20"/>
      <c r="K98" s="20"/>
      <c r="L98" s="20"/>
      <c r="M98" s="20"/>
      <c r="N98" s="20"/>
      <c r="O98" s="216">
        <v>420</v>
      </c>
      <c r="P98" s="81">
        <f>SUM(P95:P97)</f>
        <v>1058598</v>
      </c>
      <c r="R98" s="135">
        <f>SUM(R69:R97)</f>
        <v>683532</v>
      </c>
      <c r="Z98" s="20"/>
    </row>
    <row r="99" spans="1:26" s="3" customFormat="1" x14ac:dyDescent="0.25">
      <c r="A99" s="219"/>
      <c r="B99" s="3" t="s">
        <v>185</v>
      </c>
      <c r="C99" s="18"/>
      <c r="I99" s="18"/>
      <c r="J99" s="18"/>
      <c r="K99" s="18"/>
      <c r="L99" s="18"/>
      <c r="M99" s="18"/>
      <c r="N99" s="18"/>
      <c r="O99" s="18"/>
      <c r="P99" s="20"/>
      <c r="Z99" s="20"/>
    </row>
    <row r="100" spans="1:26" s="3" customFormat="1" x14ac:dyDescent="0.25">
      <c r="A100" s="219"/>
      <c r="C100" s="18"/>
      <c r="D100" s="20"/>
      <c r="E100" s="20"/>
      <c r="F100" s="20"/>
      <c r="G100" s="20"/>
      <c r="H100" s="20"/>
      <c r="I100" s="18"/>
      <c r="J100" s="18"/>
      <c r="K100" s="18"/>
      <c r="L100" s="18"/>
      <c r="M100" s="18"/>
      <c r="N100" s="18"/>
      <c r="O100" s="18"/>
      <c r="P100" s="20"/>
      <c r="S100" s="20"/>
      <c r="T100" s="20"/>
      <c r="Y100" s="20">
        <f>ROUND((SUM(Y69:Y99)),0)</f>
        <v>0</v>
      </c>
      <c r="Z100" s="20"/>
    </row>
    <row r="101" spans="1:26" x14ac:dyDescent="0.25">
      <c r="A101" s="219" t="s">
        <v>186</v>
      </c>
      <c r="B101" s="3"/>
    </row>
    <row r="102" spans="1:26" x14ac:dyDescent="0.25">
      <c r="A102" s="219" t="s">
        <v>187</v>
      </c>
      <c r="B102" s="3"/>
    </row>
    <row r="103" spans="1:26" x14ac:dyDescent="0.25">
      <c r="A103" s="219" t="s">
        <v>188</v>
      </c>
      <c r="B103" s="3"/>
    </row>
    <row r="104" spans="1:26" x14ac:dyDescent="0.25">
      <c r="A104" s="219" t="s">
        <v>189</v>
      </c>
      <c r="B104" s="3"/>
    </row>
    <row r="105" spans="1:26" x14ac:dyDescent="0.25">
      <c r="A105" s="229" t="s">
        <v>190</v>
      </c>
      <c r="B105" s="3"/>
    </row>
    <row r="106" spans="1:26" x14ac:dyDescent="0.25">
      <c r="A106" s="219" t="s">
        <v>134</v>
      </c>
      <c r="B106" s="3"/>
    </row>
    <row r="107" spans="1:26" x14ac:dyDescent="0.25">
      <c r="A107" s="219" t="s">
        <v>191</v>
      </c>
      <c r="B107" s="3"/>
    </row>
    <row r="108" spans="1:26" x14ac:dyDescent="0.25">
      <c r="A108" s="219" t="s">
        <v>192</v>
      </c>
      <c r="B108" s="3"/>
    </row>
    <row r="109" spans="1:26" x14ac:dyDescent="0.25">
      <c r="A109" s="219"/>
      <c r="B109" s="3"/>
    </row>
    <row r="110" spans="1:26" x14ac:dyDescent="0.25">
      <c r="A110" s="219"/>
      <c r="B110" s="3"/>
    </row>
    <row r="111" spans="1:26" x14ac:dyDescent="0.25">
      <c r="A111" s="219"/>
      <c r="B111" s="3"/>
    </row>
    <row r="112" spans="1:26" x14ac:dyDescent="0.25">
      <c r="A112" s="219"/>
      <c r="B112" s="3"/>
    </row>
    <row r="113" spans="1:2" x14ac:dyDescent="0.25">
      <c r="A113" s="219"/>
      <c r="B113" s="3"/>
    </row>
    <row r="114" spans="1:2" x14ac:dyDescent="0.25">
      <c r="A114" s="219"/>
      <c r="B114" s="3"/>
    </row>
    <row r="115" spans="1:2" x14ac:dyDescent="0.25">
      <c r="A115" s="219"/>
      <c r="B115" s="3"/>
    </row>
    <row r="116" spans="1:2" x14ac:dyDescent="0.25">
      <c r="A116" s="219"/>
      <c r="B116" s="3"/>
    </row>
    <row r="117" spans="1:2" ht="13.8" x14ac:dyDescent="0.25">
      <c r="A117" s="230"/>
      <c r="B117" s="102"/>
    </row>
    <row r="118" spans="1:2" ht="13.8" x14ac:dyDescent="0.25">
      <c r="A118" s="230"/>
      <c r="B118" s="102"/>
    </row>
    <row r="119" spans="1:2" ht="13.8" x14ac:dyDescent="0.25">
      <c r="A119" s="230"/>
      <c r="B119" s="102"/>
    </row>
    <row r="120" spans="1:2" ht="13.8" x14ac:dyDescent="0.25">
      <c r="A120" s="230"/>
      <c r="B120" s="102"/>
    </row>
    <row r="121" spans="1:2" ht="13.8" x14ac:dyDescent="0.25">
      <c r="A121" s="230"/>
      <c r="B121" s="102"/>
    </row>
    <row r="122" spans="1:2" ht="13.8" x14ac:dyDescent="0.25">
      <c r="A122" s="230"/>
      <c r="B122" s="102"/>
    </row>
  </sheetData>
  <phoneticPr fontId="0" type="noConversion"/>
  <hyperlinks>
    <hyperlink ref="A1" location="'Working Budget with funding det'!A1" display="Main " xr:uid="{00000000-0004-0000-2200-000000000000}"/>
    <hyperlink ref="B1" location="'Table of Contents'!A1" display="TOC" xr:uid="{00000000-0004-0000-2200-000001000000}"/>
  </hyperlinks>
  <pageMargins left="0.75" right="0.75" top="1" bottom="1" header="0.5" footer="0.5"/>
  <pageSetup scale="89" fitToHeight="3" orientation="landscape" r:id="rId1"/>
  <headerFooter alignWithMargins="0">
    <oddFooter>&amp;L&amp;D     &amp;T&amp;C&amp;F&amp;R&amp;A  &amp;P</oddFooter>
  </headerFooter>
  <rowBreaks count="2" manualBreakCount="2">
    <brk id="63" max="15" man="1"/>
    <brk id="100"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W164"/>
  <sheetViews>
    <sheetView zoomScaleNormal="100" workbookViewId="0">
      <selection activeCell="P15" sqref="P15"/>
    </sheetView>
  </sheetViews>
  <sheetFormatPr defaultRowHeight="13.2" x14ac:dyDescent="0.25"/>
  <cols>
    <col min="1" max="1" width="8.77734375" style="228"/>
    <col min="2" max="2" width="36.6640625" customWidth="1"/>
    <col min="3" max="3" width="14.44140625" style="1" hidden="1" customWidth="1"/>
    <col min="4" max="12" width="14.44140625" style="67" hidden="1" customWidth="1"/>
    <col min="13" max="15" width="14.44140625" style="67" customWidth="1"/>
    <col min="16" max="16" width="14.44140625" customWidth="1"/>
    <col min="17" max="19" width="14.44140625" style="1" customWidth="1"/>
    <col min="20" max="22" width="14.44140625" customWidth="1"/>
    <col min="23" max="23" width="14.6640625" style="2" customWidth="1"/>
  </cols>
  <sheetData>
    <row r="1" spans="1:22" x14ac:dyDescent="0.25">
      <c r="A1" s="217" t="s">
        <v>193</v>
      </c>
      <c r="B1" s="132" t="s">
        <v>2</v>
      </c>
      <c r="D1" s="99"/>
      <c r="E1" s="99"/>
      <c r="F1" s="99"/>
      <c r="G1" s="99"/>
      <c r="H1" s="99"/>
      <c r="I1" s="99"/>
      <c r="J1" s="99"/>
      <c r="K1" s="99"/>
      <c r="L1" s="99"/>
      <c r="M1" s="99"/>
      <c r="N1" s="99"/>
      <c r="O1" s="99"/>
      <c r="S1"/>
    </row>
    <row r="2" spans="1:22" ht="13.8" x14ac:dyDescent="0.25">
      <c r="A2" s="218" t="s">
        <v>136</v>
      </c>
      <c r="B2" s="35"/>
      <c r="D2" s="99"/>
      <c r="E2" s="78"/>
      <c r="F2" s="99"/>
      <c r="G2" s="99"/>
      <c r="H2" s="99"/>
      <c r="I2" s="78" t="s">
        <v>22</v>
      </c>
      <c r="J2" s="78"/>
      <c r="K2" s="78"/>
      <c r="L2" s="78"/>
      <c r="M2" s="78"/>
      <c r="N2" s="78"/>
      <c r="O2" s="78"/>
      <c r="P2" s="40" t="s">
        <v>194</v>
      </c>
      <c r="S2" s="36" t="s">
        <v>195</v>
      </c>
    </row>
    <row r="3" spans="1:22" ht="13.8" thickBot="1" x14ac:dyDescent="0.3">
      <c r="A3" s="219"/>
      <c r="B3" s="3"/>
      <c r="C3" s="18"/>
      <c r="D3" s="18"/>
      <c r="E3" s="18"/>
      <c r="F3" s="18"/>
      <c r="G3" s="18"/>
      <c r="H3" s="18"/>
      <c r="I3" s="18"/>
      <c r="J3" s="18"/>
      <c r="K3" s="18"/>
      <c r="L3" s="18"/>
      <c r="M3" s="18"/>
      <c r="N3" s="18"/>
      <c r="O3" s="18"/>
      <c r="P3" s="3"/>
      <c r="Q3" s="18"/>
      <c r="R3" s="18"/>
      <c r="S3" s="3"/>
      <c r="V3" s="3"/>
    </row>
    <row r="4" spans="1:22" ht="13.8" thickTop="1" x14ac:dyDescent="0.25">
      <c r="A4" s="220"/>
      <c r="B4" s="187"/>
      <c r="C4" s="71" t="s">
        <v>13</v>
      </c>
      <c r="D4" s="106" t="s">
        <v>13</v>
      </c>
      <c r="E4" s="106" t="s">
        <v>13</v>
      </c>
      <c r="F4" s="106" t="s">
        <v>13</v>
      </c>
      <c r="G4" s="106" t="s">
        <v>13</v>
      </c>
      <c r="H4" s="65" t="s">
        <v>13</v>
      </c>
      <c r="I4" s="111" t="s">
        <v>13</v>
      </c>
      <c r="J4" s="111" t="s">
        <v>13</v>
      </c>
      <c r="K4" s="111" t="s">
        <v>12</v>
      </c>
      <c r="L4" s="111" t="s">
        <v>13</v>
      </c>
      <c r="M4" s="111" t="s">
        <v>12</v>
      </c>
      <c r="N4" s="111" t="s">
        <v>13</v>
      </c>
      <c r="O4" s="111" t="s">
        <v>12</v>
      </c>
      <c r="P4" s="65" t="s">
        <v>23</v>
      </c>
      <c r="Q4" s="52" t="s">
        <v>18</v>
      </c>
      <c r="R4" s="52" t="s">
        <v>18</v>
      </c>
      <c r="S4" s="4" t="s">
        <v>18</v>
      </c>
    </row>
    <row r="5" spans="1:22" x14ac:dyDescent="0.25">
      <c r="A5" s="221"/>
      <c r="B5" s="96"/>
      <c r="C5" s="70"/>
      <c r="D5" s="54"/>
      <c r="E5" s="66"/>
      <c r="F5" s="54"/>
      <c r="G5" s="54"/>
      <c r="H5" s="66"/>
      <c r="I5" s="112"/>
      <c r="J5" s="112"/>
      <c r="K5" s="112"/>
      <c r="L5" s="112"/>
      <c r="M5" s="112"/>
      <c r="N5" s="112"/>
      <c r="O5" s="112"/>
      <c r="P5" s="66" t="s">
        <v>24</v>
      </c>
      <c r="Q5" s="55" t="s">
        <v>25</v>
      </c>
      <c r="R5" s="55" t="s">
        <v>26</v>
      </c>
      <c r="S5" s="93" t="s">
        <v>27</v>
      </c>
    </row>
    <row r="6" spans="1:22" x14ac:dyDescent="0.25">
      <c r="A6" s="221"/>
      <c r="B6" s="96"/>
      <c r="C6" s="70"/>
      <c r="D6" s="70"/>
      <c r="E6" s="70"/>
      <c r="F6" s="70"/>
      <c r="G6" s="70"/>
      <c r="H6" s="70"/>
      <c r="I6" s="55"/>
      <c r="J6" s="55"/>
      <c r="K6" s="55"/>
      <c r="L6" s="55"/>
      <c r="M6" s="55"/>
      <c r="N6" s="55"/>
      <c r="O6" s="55"/>
      <c r="P6" s="70"/>
      <c r="Q6" s="55" t="s">
        <v>28</v>
      </c>
      <c r="R6" s="55" t="s">
        <v>19</v>
      </c>
      <c r="S6" s="37" t="s">
        <v>29</v>
      </c>
    </row>
    <row r="7" spans="1:22" ht="13.8" thickBot="1" x14ac:dyDescent="0.3">
      <c r="A7" s="222" t="s">
        <v>30</v>
      </c>
      <c r="B7" s="51"/>
      <c r="C7" s="115" t="s">
        <v>4</v>
      </c>
      <c r="D7" s="115" t="s">
        <v>5</v>
      </c>
      <c r="E7" s="5" t="s">
        <v>6</v>
      </c>
      <c r="F7" s="5" t="s">
        <v>15</v>
      </c>
      <c r="G7" s="5" t="s">
        <v>16</v>
      </c>
      <c r="H7" s="5" t="s">
        <v>7</v>
      </c>
      <c r="I7" s="5" t="s">
        <v>8</v>
      </c>
      <c r="J7" s="5" t="s">
        <v>17</v>
      </c>
      <c r="K7" s="5" t="s">
        <v>9</v>
      </c>
      <c r="L7" s="5" t="s">
        <v>9</v>
      </c>
      <c r="M7" s="5" t="s">
        <v>10</v>
      </c>
      <c r="N7" s="5" t="s">
        <v>10</v>
      </c>
      <c r="O7" s="5" t="s">
        <v>11</v>
      </c>
      <c r="P7" s="76">
        <v>44926</v>
      </c>
      <c r="Q7" s="5" t="s">
        <v>31</v>
      </c>
      <c r="R7" s="5"/>
      <c r="S7" s="5" t="s">
        <v>19</v>
      </c>
    </row>
    <row r="8" spans="1:22" ht="13.8" thickTop="1" x14ac:dyDescent="0.25">
      <c r="A8" s="235"/>
      <c r="B8" s="97"/>
      <c r="C8" s="75"/>
      <c r="D8" s="13"/>
      <c r="E8" s="13"/>
      <c r="F8" s="13"/>
      <c r="G8" s="13"/>
      <c r="H8" s="13"/>
      <c r="I8" s="13"/>
      <c r="J8" s="13"/>
      <c r="K8" s="14"/>
      <c r="L8" s="14"/>
      <c r="M8" s="14"/>
      <c r="N8" s="14"/>
      <c r="O8" s="14"/>
      <c r="P8" s="13"/>
      <c r="Q8" s="14"/>
      <c r="R8" s="14"/>
      <c r="S8" s="14"/>
    </row>
    <row r="9" spans="1:22" x14ac:dyDescent="0.25">
      <c r="A9" s="224">
        <v>5112</v>
      </c>
      <c r="B9" s="42" t="s">
        <v>196</v>
      </c>
      <c r="C9" s="138">
        <v>63971.3</v>
      </c>
      <c r="D9" s="8">
        <f>4702.2+65911.5</f>
        <v>70613.7</v>
      </c>
      <c r="E9" s="79">
        <v>72732</v>
      </c>
      <c r="F9" s="79">
        <v>74739</v>
      </c>
      <c r="G9" s="79">
        <v>100017.29</v>
      </c>
      <c r="H9" s="79">
        <v>106004.5</v>
      </c>
      <c r="I9" s="8">
        <v>110121.8</v>
      </c>
      <c r="J9" s="8">
        <v>120932.3</v>
      </c>
      <c r="K9" s="9">
        <v>125128</v>
      </c>
      <c r="L9" s="8">
        <v>125128.3</v>
      </c>
      <c r="M9" s="9">
        <v>129397</v>
      </c>
      <c r="N9" s="8">
        <v>118994.59</v>
      </c>
      <c r="O9" s="9">
        <f>5310+133099</f>
        <v>138409</v>
      </c>
      <c r="P9" s="8">
        <v>46714.8</v>
      </c>
      <c r="Q9" s="9">
        <f>ROUND((+'420 DPW'!P74+'420 DPW'!P75+'420 DPW'!P76),0)</f>
        <v>140483</v>
      </c>
      <c r="R9" s="9"/>
      <c r="S9" s="9"/>
    </row>
    <row r="10" spans="1:22" x14ac:dyDescent="0.25">
      <c r="A10" s="224">
        <v>5132</v>
      </c>
      <c r="B10" s="42" t="s">
        <v>141</v>
      </c>
      <c r="C10" s="200">
        <v>3287.13</v>
      </c>
      <c r="D10" s="27">
        <f>283.47+4109.44</f>
        <v>4392.91</v>
      </c>
      <c r="E10" s="100">
        <v>2212.44</v>
      </c>
      <c r="F10" s="100">
        <v>1440</v>
      </c>
      <c r="G10" s="100">
        <v>1576.97</v>
      </c>
      <c r="H10" s="100">
        <v>2867</v>
      </c>
      <c r="I10" s="27">
        <v>2574.35</v>
      </c>
      <c r="J10" s="27">
        <v>2495.06</v>
      </c>
      <c r="K10" s="28">
        <v>4000</v>
      </c>
      <c r="L10" s="27">
        <v>2848.86</v>
      </c>
      <c r="M10" s="28">
        <v>4000</v>
      </c>
      <c r="N10" s="27">
        <v>2510.92</v>
      </c>
      <c r="O10" s="28">
        <v>4000</v>
      </c>
      <c r="P10" s="27">
        <v>2407.21</v>
      </c>
      <c r="Q10" s="28">
        <v>4000</v>
      </c>
      <c r="R10" s="28"/>
      <c r="S10" s="28"/>
    </row>
    <row r="11" spans="1:22" ht="13.8" thickBot="1" x14ac:dyDescent="0.3">
      <c r="A11" s="224">
        <v>5142</v>
      </c>
      <c r="B11" s="42" t="s">
        <v>127</v>
      </c>
      <c r="C11" s="200">
        <v>196.41</v>
      </c>
      <c r="D11" s="27">
        <v>226.1</v>
      </c>
      <c r="E11" s="100">
        <v>201.6</v>
      </c>
      <c r="F11" s="100">
        <v>210</v>
      </c>
      <c r="G11" s="100">
        <v>1.2</v>
      </c>
      <c r="H11" s="100"/>
      <c r="I11" s="27">
        <v>63.06</v>
      </c>
      <c r="J11" s="27"/>
      <c r="K11" s="28">
        <v>250</v>
      </c>
      <c r="L11" s="27">
        <v>15</v>
      </c>
      <c r="M11" s="28">
        <v>250</v>
      </c>
      <c r="N11" s="27">
        <v>235.22</v>
      </c>
      <c r="O11" s="28">
        <v>175</v>
      </c>
      <c r="P11" s="27"/>
      <c r="Q11" s="28">
        <v>175</v>
      </c>
      <c r="R11" s="28"/>
      <c r="S11" s="28"/>
    </row>
    <row r="12" spans="1:22" x14ac:dyDescent="0.25">
      <c r="A12" s="224"/>
      <c r="B12" s="43" t="s">
        <v>32</v>
      </c>
      <c r="C12" s="204">
        <f t="shared" ref="C12:S12" si="0">SUM(C9:C11)</f>
        <v>67454.840000000011</v>
      </c>
      <c r="D12" s="24">
        <f t="shared" si="0"/>
        <v>75232.710000000006</v>
      </c>
      <c r="E12" s="24">
        <f t="shared" si="0"/>
        <v>75146.040000000008</v>
      </c>
      <c r="F12" s="24">
        <f>SUM(F9:F11)</f>
        <v>76389</v>
      </c>
      <c r="G12" s="24">
        <f>SUM(G9:G11)</f>
        <v>101595.45999999999</v>
      </c>
      <c r="H12" s="24">
        <f>SUM(H9:H11)</f>
        <v>108871.5</v>
      </c>
      <c r="I12" s="24">
        <f t="shared" si="0"/>
        <v>112759.21</v>
      </c>
      <c r="J12" s="24">
        <f t="shared" si="0"/>
        <v>123427.36</v>
      </c>
      <c r="K12" s="25">
        <f>SUM(K9:K11)</f>
        <v>129378</v>
      </c>
      <c r="L12" s="24">
        <f t="shared" ref="L12:O12" si="1">SUM(L9:L11)</f>
        <v>127992.16</v>
      </c>
      <c r="M12" s="25">
        <f t="shared" si="1"/>
        <v>133647</v>
      </c>
      <c r="N12" s="24">
        <f t="shared" si="1"/>
        <v>121740.73</v>
      </c>
      <c r="O12" s="25">
        <f t="shared" si="1"/>
        <v>142584</v>
      </c>
      <c r="P12" s="24">
        <f t="shared" si="0"/>
        <v>49122.01</v>
      </c>
      <c r="Q12" s="25">
        <f>SUM(Q9:Q11)</f>
        <v>144658</v>
      </c>
      <c r="R12" s="25"/>
      <c r="S12" s="25">
        <f t="shared" si="0"/>
        <v>0</v>
      </c>
    </row>
    <row r="13" spans="1:22" x14ac:dyDescent="0.25">
      <c r="A13" s="224"/>
      <c r="B13" s="42"/>
      <c r="C13" s="138"/>
      <c r="D13" s="8"/>
      <c r="E13" s="8"/>
      <c r="F13" s="8"/>
      <c r="G13" s="8"/>
      <c r="H13" s="8"/>
      <c r="I13" s="8"/>
      <c r="J13" s="8"/>
      <c r="K13" s="9"/>
      <c r="L13" s="8"/>
      <c r="M13" s="9"/>
      <c r="N13" s="8"/>
      <c r="O13" s="9"/>
      <c r="P13" s="8"/>
      <c r="Q13" s="9"/>
      <c r="R13" s="9"/>
      <c r="S13" s="9"/>
    </row>
    <row r="14" spans="1:22" x14ac:dyDescent="0.25">
      <c r="A14" s="224">
        <v>5241</v>
      </c>
      <c r="B14" s="42" t="s">
        <v>142</v>
      </c>
      <c r="C14" s="138"/>
      <c r="D14" s="13"/>
      <c r="E14" s="69">
        <v>2228</v>
      </c>
      <c r="F14" s="69">
        <v>2295</v>
      </c>
      <c r="G14" s="69">
        <v>2364</v>
      </c>
      <c r="H14" s="69">
        <v>2434</v>
      </c>
      <c r="I14" s="13">
        <v>2508</v>
      </c>
      <c r="J14" s="13">
        <v>2583</v>
      </c>
      <c r="K14" s="14">
        <v>3000</v>
      </c>
      <c r="L14" s="13">
        <v>2660</v>
      </c>
      <c r="M14" s="14">
        <v>3000</v>
      </c>
      <c r="N14" s="13">
        <v>2740</v>
      </c>
      <c r="O14" s="14">
        <v>3000</v>
      </c>
      <c r="P14" s="8">
        <v>2822</v>
      </c>
      <c r="Q14" s="14">
        <v>3000</v>
      </c>
      <c r="R14" s="14"/>
      <c r="S14" s="14"/>
    </row>
    <row r="15" spans="1:22" x14ac:dyDescent="0.25">
      <c r="A15" s="224">
        <v>5242</v>
      </c>
      <c r="B15" s="42" t="s">
        <v>143</v>
      </c>
      <c r="C15" s="138">
        <v>12678.44</v>
      </c>
      <c r="D15" s="13">
        <v>14234.46</v>
      </c>
      <c r="E15" s="69">
        <v>21584.59</v>
      </c>
      <c r="F15" s="69">
        <v>12784.57</v>
      </c>
      <c r="G15" s="69">
        <v>9805.6299999999992</v>
      </c>
      <c r="H15" s="69">
        <v>13534.16</v>
      </c>
      <c r="I15" s="13">
        <v>14854.66</v>
      </c>
      <c r="J15" s="13">
        <v>18102.38</v>
      </c>
      <c r="K15" s="14">
        <v>16000</v>
      </c>
      <c r="L15" s="13">
        <v>16510.34</v>
      </c>
      <c r="M15" s="14">
        <v>18000</v>
      </c>
      <c r="N15" s="13">
        <v>20320.259999999998</v>
      </c>
      <c r="O15" s="14">
        <v>18000</v>
      </c>
      <c r="P15" s="8">
        <v>7596.37</v>
      </c>
      <c r="Q15" s="14">
        <v>18000</v>
      </c>
      <c r="R15" s="14"/>
      <c r="S15" s="14"/>
    </row>
    <row r="16" spans="1:22" x14ac:dyDescent="0.25">
      <c r="A16" s="224">
        <v>5243</v>
      </c>
      <c r="B16" s="42" t="s">
        <v>197</v>
      </c>
      <c r="C16" s="138">
        <v>15167.36</v>
      </c>
      <c r="D16" s="13">
        <v>12103.44</v>
      </c>
      <c r="E16" s="69">
        <v>42549.06</v>
      </c>
      <c r="F16" s="69">
        <v>23614.560000000001</v>
      </c>
      <c r="G16" s="69">
        <v>31462.560000000001</v>
      </c>
      <c r="H16" s="69">
        <v>20342.38</v>
      </c>
      <c r="I16" s="13">
        <v>33925.94</v>
      </c>
      <c r="J16" s="13">
        <v>27147.34</v>
      </c>
      <c r="K16" s="14">
        <v>25000</v>
      </c>
      <c r="L16" s="13">
        <v>15937.72</v>
      </c>
      <c r="M16" s="14">
        <v>25000</v>
      </c>
      <c r="N16" s="13">
        <v>19355.099999999999</v>
      </c>
      <c r="O16" s="14">
        <v>25000</v>
      </c>
      <c r="P16" s="8">
        <v>1382</v>
      </c>
      <c r="Q16" s="14">
        <v>25000</v>
      </c>
      <c r="R16" s="14"/>
      <c r="S16" s="14"/>
    </row>
    <row r="17" spans="1:22" x14ac:dyDescent="0.25">
      <c r="A17" s="224">
        <v>5251</v>
      </c>
      <c r="B17" s="42" t="s">
        <v>147</v>
      </c>
      <c r="C17" s="138">
        <v>692.5</v>
      </c>
      <c r="D17" s="13">
        <v>0</v>
      </c>
      <c r="E17" s="69"/>
      <c r="F17" s="69"/>
      <c r="G17" s="69">
        <v>5710.13</v>
      </c>
      <c r="H17" s="69">
        <v>493.99</v>
      </c>
      <c r="I17" s="13">
        <v>0</v>
      </c>
      <c r="J17" s="13">
        <v>1260.6500000000001</v>
      </c>
      <c r="K17" s="14">
        <v>800</v>
      </c>
      <c r="L17" s="13"/>
      <c r="M17" s="14">
        <v>800</v>
      </c>
      <c r="N17" s="13">
        <v>1997.55</v>
      </c>
      <c r="O17" s="14">
        <v>800</v>
      </c>
      <c r="P17" s="8"/>
      <c r="Q17" s="14">
        <v>800</v>
      </c>
      <c r="R17" s="14"/>
      <c r="S17" s="14"/>
    </row>
    <row r="18" spans="1:22" x14ac:dyDescent="0.25">
      <c r="A18" s="224">
        <v>5430</v>
      </c>
      <c r="B18" s="42" t="s">
        <v>154</v>
      </c>
      <c r="C18" s="138">
        <v>1946.02</v>
      </c>
      <c r="D18" s="13">
        <v>2231.6999999999998</v>
      </c>
      <c r="E18" s="69">
        <v>1296.46</v>
      </c>
      <c r="F18" s="69">
        <v>2045.7</v>
      </c>
      <c r="G18" s="69">
        <v>2138.9699999999998</v>
      </c>
      <c r="H18" s="69">
        <v>3025.76</v>
      </c>
      <c r="I18" s="13">
        <v>2059.59</v>
      </c>
      <c r="J18" s="13">
        <v>2932.38</v>
      </c>
      <c r="K18" s="14">
        <v>4000</v>
      </c>
      <c r="L18" s="13">
        <v>1210.99</v>
      </c>
      <c r="M18" s="14">
        <v>4000</v>
      </c>
      <c r="N18" s="13">
        <v>3209.29</v>
      </c>
      <c r="O18" s="14">
        <v>3000</v>
      </c>
      <c r="P18" s="8">
        <v>166.75</v>
      </c>
      <c r="Q18" s="14">
        <v>3000</v>
      </c>
      <c r="R18" s="14"/>
      <c r="S18" s="14"/>
    </row>
    <row r="19" spans="1:22" x14ac:dyDescent="0.25">
      <c r="A19" s="224">
        <v>5443</v>
      </c>
      <c r="B19" s="7" t="s">
        <v>158</v>
      </c>
      <c r="C19" s="79">
        <v>601.75</v>
      </c>
      <c r="D19" s="13">
        <v>526.84</v>
      </c>
      <c r="E19" s="69">
        <v>1059.18</v>
      </c>
      <c r="F19" s="69">
        <v>1706.79</v>
      </c>
      <c r="G19" s="69">
        <v>1642.64</v>
      </c>
      <c r="H19" s="69">
        <v>10884.74</v>
      </c>
      <c r="I19" s="13">
        <v>2866.67</v>
      </c>
      <c r="J19" s="13">
        <v>7294.42</v>
      </c>
      <c r="K19" s="14">
        <v>4000</v>
      </c>
      <c r="L19" s="13">
        <v>3446.97</v>
      </c>
      <c r="M19" s="14">
        <v>4500</v>
      </c>
      <c r="N19" s="13">
        <v>3902.1</v>
      </c>
      <c r="O19" s="14">
        <v>4500</v>
      </c>
      <c r="P19" s="8">
        <v>1440.54</v>
      </c>
      <c r="Q19" s="14">
        <v>4500</v>
      </c>
      <c r="R19" s="14"/>
      <c r="S19" s="14"/>
    </row>
    <row r="20" spans="1:22" hidden="1" x14ac:dyDescent="0.25">
      <c r="A20" s="224"/>
      <c r="B20" s="7" t="s">
        <v>132</v>
      </c>
      <c r="C20" s="100"/>
      <c r="D20" s="22"/>
      <c r="E20" s="121"/>
      <c r="F20" s="121"/>
      <c r="G20" s="121"/>
      <c r="H20" s="121"/>
      <c r="I20" s="22"/>
      <c r="J20" s="22"/>
      <c r="K20" s="23"/>
      <c r="L20" s="22">
        <v>2839.82</v>
      </c>
      <c r="M20" s="23"/>
      <c r="N20" s="22"/>
      <c r="O20" s="23"/>
      <c r="P20" s="27"/>
      <c r="Q20" s="23"/>
      <c r="R20" s="23"/>
      <c r="S20" s="23"/>
    </row>
    <row r="21" spans="1:22" ht="13.8" thickBot="1" x14ac:dyDescent="0.3">
      <c r="A21" s="224">
        <v>5451</v>
      </c>
      <c r="B21" s="7" t="s">
        <v>129</v>
      </c>
      <c r="C21" s="119">
        <v>5018.82</v>
      </c>
      <c r="D21" s="10">
        <v>5254.01</v>
      </c>
      <c r="E21" s="119">
        <v>5220.07</v>
      </c>
      <c r="F21" s="119">
        <v>4714.6000000000004</v>
      </c>
      <c r="G21" s="119">
        <v>7479.13</v>
      </c>
      <c r="H21" s="119">
        <v>7438.02</v>
      </c>
      <c r="I21" s="10">
        <v>7961.22</v>
      </c>
      <c r="J21" s="10">
        <v>7547.15</v>
      </c>
      <c r="K21" s="11">
        <v>8000</v>
      </c>
      <c r="L21" s="10">
        <v>5319.19</v>
      </c>
      <c r="M21" s="11">
        <v>9000</v>
      </c>
      <c r="N21" s="10">
        <v>5820.13</v>
      </c>
      <c r="O21" s="11">
        <v>8500</v>
      </c>
      <c r="P21" s="10">
        <v>4219.92</v>
      </c>
      <c r="Q21" s="11">
        <v>8500</v>
      </c>
      <c r="R21" s="11"/>
      <c r="S21" s="11"/>
    </row>
    <row r="22" spans="1:22" x14ac:dyDescent="0.25">
      <c r="A22" s="224"/>
      <c r="B22" s="12" t="s">
        <v>34</v>
      </c>
      <c r="C22" s="13">
        <f>SUM(C15:C21)</f>
        <v>36104.89</v>
      </c>
      <c r="D22" s="13">
        <f>SUM(D15:D21)</f>
        <v>34350.450000000004</v>
      </c>
      <c r="E22" s="13">
        <f t="shared" ref="E22:S22" si="2">SUM(E14:E21)</f>
        <v>73937.359999999986</v>
      </c>
      <c r="F22" s="13">
        <f t="shared" si="2"/>
        <v>47161.22</v>
      </c>
      <c r="G22" s="13">
        <f t="shared" si="2"/>
        <v>60603.06</v>
      </c>
      <c r="H22" s="13">
        <f t="shared" si="2"/>
        <v>58153.05</v>
      </c>
      <c r="I22" s="13">
        <f t="shared" si="2"/>
        <v>64176.08</v>
      </c>
      <c r="J22" s="13">
        <f t="shared" ref="J22" si="3">SUM(J14:J21)</f>
        <v>66867.319999999992</v>
      </c>
      <c r="K22" s="26">
        <f t="shared" si="2"/>
        <v>60800</v>
      </c>
      <c r="L22" s="13">
        <f t="shared" ref="L22:O22" si="4">SUM(L14:L21)</f>
        <v>47925.03</v>
      </c>
      <c r="M22" s="26">
        <f t="shared" si="4"/>
        <v>64300</v>
      </c>
      <c r="N22" s="13">
        <f t="shared" ref="N22" si="5">SUM(N14:N21)</f>
        <v>57344.43</v>
      </c>
      <c r="O22" s="26">
        <f t="shared" si="4"/>
        <v>62800</v>
      </c>
      <c r="P22" s="13">
        <f t="shared" si="2"/>
        <v>17627.580000000002</v>
      </c>
      <c r="Q22" s="26">
        <f t="shared" si="2"/>
        <v>62800</v>
      </c>
      <c r="R22" s="26"/>
      <c r="S22" s="26">
        <f t="shared" si="2"/>
        <v>0</v>
      </c>
    </row>
    <row r="23" spans="1:22" x14ac:dyDescent="0.25">
      <c r="A23" s="224"/>
      <c r="B23" s="7"/>
      <c r="C23" s="8"/>
      <c r="D23" s="8"/>
      <c r="E23" s="8"/>
      <c r="F23" s="8"/>
      <c r="G23" s="8"/>
      <c r="H23" s="8"/>
      <c r="I23" s="8"/>
      <c r="J23" s="8"/>
      <c r="K23" s="9"/>
      <c r="L23" s="8"/>
      <c r="M23" s="9"/>
      <c r="N23" s="8"/>
      <c r="O23" s="9"/>
      <c r="P23" s="8"/>
      <c r="Q23" s="9"/>
      <c r="R23" s="9"/>
      <c r="S23" s="9"/>
    </row>
    <row r="24" spans="1:22" ht="13.8" thickBot="1" x14ac:dyDescent="0.3">
      <c r="A24" s="225"/>
      <c r="B24" s="15" t="s">
        <v>198</v>
      </c>
      <c r="C24" s="16">
        <f t="shared" ref="C24:R24" si="6">+C22+C12</f>
        <v>103559.73000000001</v>
      </c>
      <c r="D24" s="16">
        <f t="shared" si="6"/>
        <v>109583.16</v>
      </c>
      <c r="E24" s="16">
        <f t="shared" si="6"/>
        <v>149083.4</v>
      </c>
      <c r="F24" s="16">
        <f t="shared" si="6"/>
        <v>123550.22</v>
      </c>
      <c r="G24" s="16">
        <f t="shared" si="6"/>
        <v>162198.51999999999</v>
      </c>
      <c r="H24" s="16">
        <f t="shared" si="6"/>
        <v>167024.54999999999</v>
      </c>
      <c r="I24" s="16">
        <f t="shared" si="6"/>
        <v>176935.29</v>
      </c>
      <c r="J24" s="16">
        <f t="shared" ref="J24" si="7">+J22+J12</f>
        <v>190294.68</v>
      </c>
      <c r="K24" s="17">
        <f t="shared" si="6"/>
        <v>190178</v>
      </c>
      <c r="L24" s="16">
        <f t="shared" ref="L24:O24" si="8">+L22+L12</f>
        <v>175917.19</v>
      </c>
      <c r="M24" s="17">
        <f t="shared" si="8"/>
        <v>197947</v>
      </c>
      <c r="N24" s="16">
        <f t="shared" ref="N24" si="9">+N22+N12</f>
        <v>179085.16</v>
      </c>
      <c r="O24" s="17">
        <f t="shared" si="8"/>
        <v>205384</v>
      </c>
      <c r="P24" s="16">
        <f t="shared" si="6"/>
        <v>66749.59</v>
      </c>
      <c r="Q24" s="17">
        <f t="shared" si="6"/>
        <v>207458</v>
      </c>
      <c r="R24" s="17">
        <f t="shared" si="6"/>
        <v>0</v>
      </c>
      <c r="S24" s="17">
        <f>+Q24</f>
        <v>207458</v>
      </c>
    </row>
    <row r="25" spans="1:22" ht="13.8" thickTop="1" x14ac:dyDescent="0.25">
      <c r="A25" s="219"/>
      <c r="B25" s="3"/>
      <c r="C25" s="18"/>
      <c r="D25" s="18"/>
      <c r="E25" s="18"/>
      <c r="F25" s="18"/>
      <c r="G25" s="18"/>
      <c r="H25" s="18"/>
      <c r="I25" s="18"/>
      <c r="J25" s="18"/>
      <c r="K25" s="18"/>
      <c r="L25" s="18"/>
      <c r="M25" s="18"/>
      <c r="N25" s="18"/>
      <c r="O25" s="18"/>
      <c r="P25" s="94" t="s">
        <v>37</v>
      </c>
      <c r="Q25" s="278">
        <f>+Q24-O24</f>
        <v>2074</v>
      </c>
      <c r="R25" s="279">
        <f>ROUND((+Q25/O24),4)</f>
        <v>1.01E-2</v>
      </c>
      <c r="S25" s="18"/>
      <c r="T25" s="20"/>
      <c r="U25" s="20"/>
      <c r="V25" s="20"/>
    </row>
    <row r="26" spans="1:22" ht="14.4" x14ac:dyDescent="0.3">
      <c r="A26" s="241"/>
      <c r="B26" s="3"/>
      <c r="C26" s="18"/>
      <c r="D26" s="18"/>
      <c r="E26" s="18"/>
      <c r="F26" s="18"/>
      <c r="G26" s="18"/>
      <c r="H26" s="18"/>
      <c r="I26" s="18"/>
      <c r="J26" s="18"/>
      <c r="K26" s="18"/>
      <c r="L26" s="18"/>
      <c r="M26" s="18"/>
      <c r="N26" s="18"/>
      <c r="O26" s="18"/>
      <c r="P26" s="20"/>
      <c r="Q26" s="18"/>
      <c r="R26" s="18"/>
      <c r="S26" s="18"/>
      <c r="T26" s="20"/>
      <c r="U26" s="20"/>
      <c r="V26" s="20"/>
    </row>
    <row r="27" spans="1:22" ht="14.4" x14ac:dyDescent="0.3">
      <c r="A27" s="242"/>
      <c r="B27" s="3"/>
      <c r="C27" s="18"/>
      <c r="D27" s="18"/>
      <c r="E27" s="18"/>
      <c r="F27" s="18"/>
      <c r="G27" s="18"/>
      <c r="H27" s="18"/>
      <c r="I27" s="18"/>
      <c r="J27" s="18"/>
      <c r="K27" s="18"/>
      <c r="L27" s="18"/>
      <c r="M27" s="18"/>
      <c r="N27" s="18"/>
      <c r="O27" s="18"/>
      <c r="P27" s="20"/>
      <c r="Q27" s="18"/>
      <c r="R27" s="18"/>
      <c r="S27" s="18"/>
      <c r="T27" s="20"/>
      <c r="U27" s="20"/>
      <c r="V27" s="20"/>
    </row>
    <row r="28" spans="1:22" ht="15" thickBot="1" x14ac:dyDescent="0.35">
      <c r="A28" s="243"/>
      <c r="B28" s="3"/>
      <c r="C28" s="18"/>
      <c r="D28" s="18"/>
      <c r="E28" s="18"/>
      <c r="F28" s="18"/>
      <c r="G28" s="18"/>
      <c r="H28" s="18"/>
      <c r="I28" s="18"/>
      <c r="J28" s="18"/>
      <c r="K28" s="18"/>
      <c r="L28" s="18"/>
      <c r="M28" s="18"/>
      <c r="N28" s="18"/>
      <c r="O28" s="18"/>
      <c r="P28" s="20"/>
      <c r="Q28" s="18"/>
      <c r="R28" s="18"/>
      <c r="S28" s="18"/>
      <c r="T28" s="20"/>
      <c r="U28" s="20"/>
      <c r="V28" s="20"/>
    </row>
    <row r="29" spans="1:22" ht="13.8" thickTop="1" x14ac:dyDescent="0.25">
      <c r="A29" s="231"/>
      <c r="B29" s="280" t="s">
        <v>305</v>
      </c>
      <c r="C29" s="146" t="s">
        <v>13</v>
      </c>
      <c r="D29" s="147" t="s">
        <v>13</v>
      </c>
      <c r="E29" s="147" t="s">
        <v>13</v>
      </c>
      <c r="F29" s="99"/>
      <c r="G29" s="99"/>
      <c r="H29" s="99"/>
      <c r="I29" s="99"/>
      <c r="J29" s="99"/>
      <c r="K29" s="99"/>
      <c r="L29" s="99"/>
      <c r="M29" s="148" t="s">
        <v>12</v>
      </c>
      <c r="N29" s="149" t="s">
        <v>31</v>
      </c>
      <c r="O29" s="150" t="s">
        <v>35</v>
      </c>
      <c r="P29" s="149" t="s">
        <v>36</v>
      </c>
      <c r="Q29" s="151"/>
      <c r="R29" s="193"/>
      <c r="S29" s="150"/>
      <c r="T29" s="20"/>
      <c r="U29" s="20"/>
      <c r="V29" s="20"/>
    </row>
    <row r="30" spans="1:22" ht="13.8" thickBot="1" x14ac:dyDescent="0.3">
      <c r="A30" s="232" t="s">
        <v>30</v>
      </c>
      <c r="B30" s="152"/>
      <c r="C30" s="153" t="s">
        <v>4</v>
      </c>
      <c r="D30" s="153" t="s">
        <v>5</v>
      </c>
      <c r="E30" s="154" t="s">
        <v>6</v>
      </c>
      <c r="F30" s="99"/>
      <c r="G30" s="99"/>
      <c r="H30" s="99"/>
      <c r="I30" s="99"/>
      <c r="J30" s="99"/>
      <c r="K30" s="99"/>
      <c r="L30" s="99"/>
      <c r="M30" s="155" t="s">
        <v>11</v>
      </c>
      <c r="N30" s="155" t="s">
        <v>18</v>
      </c>
      <c r="O30" s="154" t="s">
        <v>37</v>
      </c>
      <c r="P30" s="156" t="s">
        <v>37</v>
      </c>
      <c r="Q30" s="157" t="s">
        <v>38</v>
      </c>
      <c r="R30" s="194"/>
      <c r="S30" s="155"/>
      <c r="T30" s="20"/>
      <c r="U30" s="20"/>
      <c r="V30" s="20"/>
    </row>
    <row r="31" spans="1:22" ht="13.8" thickTop="1" x14ac:dyDescent="0.25">
      <c r="A31" s="236"/>
      <c r="B31" s="168"/>
      <c r="C31" s="158"/>
      <c r="D31" s="158"/>
      <c r="E31" s="158"/>
      <c r="F31" s="99"/>
      <c r="G31" s="99"/>
      <c r="H31" s="99"/>
      <c r="I31" s="99"/>
      <c r="J31" s="99"/>
      <c r="K31" s="99"/>
      <c r="L31" s="99"/>
      <c r="M31" s="159"/>
      <c r="N31" s="174"/>
      <c r="O31" s="175"/>
      <c r="P31" s="173"/>
      <c r="Q31" s="160"/>
      <c r="R31" s="195"/>
      <c r="S31" s="161"/>
      <c r="T31" s="20"/>
      <c r="U31" s="20"/>
      <c r="V31" s="20"/>
    </row>
    <row r="32" spans="1:22" x14ac:dyDescent="0.25">
      <c r="A32" s="234">
        <v>5112</v>
      </c>
      <c r="B32" s="162" t="s">
        <v>196</v>
      </c>
      <c r="C32" s="165">
        <v>63971.3</v>
      </c>
      <c r="D32" s="165">
        <f>4702.2+65911.5</f>
        <v>70613.7</v>
      </c>
      <c r="E32" s="165">
        <v>72732</v>
      </c>
      <c r="F32" s="99"/>
      <c r="G32" s="99"/>
      <c r="H32" s="99"/>
      <c r="I32" s="99"/>
      <c r="J32" s="99"/>
      <c r="K32" s="99"/>
      <c r="L32" s="99"/>
      <c r="M32" s="206">
        <f>+O9+3911</f>
        <v>142320</v>
      </c>
      <c r="N32" s="178">
        <f>+Q9</f>
        <v>140483</v>
      </c>
      <c r="O32" s="179">
        <f t="shared" ref="O32:O41" si="10">+N32-M32</f>
        <v>-1837</v>
      </c>
      <c r="P32" s="166">
        <f t="shared" ref="P32:P41" si="11">IF(M32+N32&lt;&gt;0,IF(M32&lt;&gt;0,IF(O32&lt;&gt;0,ROUND((+O32/M32),4),""),1),"")</f>
        <v>-1.29E-2</v>
      </c>
      <c r="Q32" s="160" t="s">
        <v>199</v>
      </c>
      <c r="R32" s="195"/>
      <c r="S32" s="161"/>
      <c r="T32" s="20"/>
      <c r="U32" s="20"/>
      <c r="V32" s="20"/>
    </row>
    <row r="33" spans="1:22" x14ac:dyDescent="0.25">
      <c r="A33" s="234">
        <v>5132</v>
      </c>
      <c r="B33" s="162" t="s">
        <v>141</v>
      </c>
      <c r="C33" s="167">
        <v>3287.13</v>
      </c>
      <c r="D33" s="167">
        <f>283.47+4109.44</f>
        <v>4392.91</v>
      </c>
      <c r="E33" s="167">
        <v>2212.44</v>
      </c>
      <c r="F33" s="99"/>
      <c r="G33" s="99"/>
      <c r="H33" s="99"/>
      <c r="I33" s="99"/>
      <c r="J33" s="99"/>
      <c r="K33" s="99"/>
      <c r="L33" s="99"/>
      <c r="M33" s="164">
        <f>+O10</f>
        <v>4000</v>
      </c>
      <c r="N33" s="178">
        <f>+Q10</f>
        <v>4000</v>
      </c>
      <c r="O33" s="179">
        <f t="shared" si="10"/>
        <v>0</v>
      </c>
      <c r="P33" s="166" t="str">
        <f t="shared" si="11"/>
        <v/>
      </c>
      <c r="Q33" s="160"/>
      <c r="R33" s="195"/>
      <c r="S33" s="161"/>
      <c r="T33" s="20"/>
      <c r="U33" s="20"/>
      <c r="V33" s="20"/>
    </row>
    <row r="34" spans="1:22" x14ac:dyDescent="0.25">
      <c r="A34" s="234">
        <v>5142</v>
      </c>
      <c r="B34" s="162" t="s">
        <v>127</v>
      </c>
      <c r="C34" s="167">
        <v>196.41</v>
      </c>
      <c r="D34" s="167">
        <v>226.1</v>
      </c>
      <c r="E34" s="167">
        <v>201.6</v>
      </c>
      <c r="F34" s="99"/>
      <c r="G34" s="99"/>
      <c r="H34" s="99"/>
      <c r="I34" s="99"/>
      <c r="J34" s="99"/>
      <c r="K34" s="99"/>
      <c r="L34" s="99"/>
      <c r="M34" s="164">
        <f>+O11</f>
        <v>175</v>
      </c>
      <c r="N34" s="178">
        <f>+Q11</f>
        <v>175</v>
      </c>
      <c r="O34" s="179">
        <f t="shared" si="10"/>
        <v>0</v>
      </c>
      <c r="P34" s="166" t="str">
        <f t="shared" si="11"/>
        <v/>
      </c>
      <c r="Q34" s="160"/>
      <c r="R34" s="195"/>
      <c r="S34" s="161"/>
      <c r="T34" s="20"/>
      <c r="U34" s="20"/>
      <c r="V34" s="20"/>
    </row>
    <row r="35" spans="1:22" x14ac:dyDescent="0.25">
      <c r="A35" s="234">
        <v>5241</v>
      </c>
      <c r="B35" s="162" t="s">
        <v>142</v>
      </c>
      <c r="C35" s="165"/>
      <c r="D35" s="158"/>
      <c r="E35" s="158">
        <v>2228</v>
      </c>
      <c r="F35" s="99"/>
      <c r="G35" s="99"/>
      <c r="H35" s="99"/>
      <c r="I35" s="99"/>
      <c r="J35" s="99"/>
      <c r="K35" s="99"/>
      <c r="L35" s="99"/>
      <c r="M35" s="164">
        <f t="shared" ref="M35:M40" si="12">+O14</f>
        <v>3000</v>
      </c>
      <c r="N35" s="178">
        <f t="shared" ref="N35:N40" si="13">+Q14</f>
        <v>3000</v>
      </c>
      <c r="O35" s="179">
        <f t="shared" si="10"/>
        <v>0</v>
      </c>
      <c r="P35" s="166" t="str">
        <f t="shared" si="11"/>
        <v/>
      </c>
      <c r="Q35" s="160"/>
      <c r="R35" s="195"/>
      <c r="S35" s="161"/>
      <c r="T35" s="20"/>
      <c r="U35" s="20"/>
      <c r="V35" s="20"/>
    </row>
    <row r="36" spans="1:22" x14ac:dyDescent="0.25">
      <c r="A36" s="234">
        <v>5242</v>
      </c>
      <c r="B36" s="162" t="s">
        <v>143</v>
      </c>
      <c r="C36" s="165">
        <v>12678.44</v>
      </c>
      <c r="D36" s="158">
        <v>14234.46</v>
      </c>
      <c r="E36" s="158">
        <v>21584.59</v>
      </c>
      <c r="F36" s="99"/>
      <c r="G36" s="99"/>
      <c r="H36" s="99"/>
      <c r="I36" s="99"/>
      <c r="J36" s="99"/>
      <c r="K36" s="99"/>
      <c r="L36" s="99"/>
      <c r="M36" s="164">
        <f t="shared" si="12"/>
        <v>18000</v>
      </c>
      <c r="N36" s="178">
        <f t="shared" si="13"/>
        <v>18000</v>
      </c>
      <c r="O36" s="179">
        <f t="shared" si="10"/>
        <v>0</v>
      </c>
      <c r="P36" s="166" t="str">
        <f t="shared" si="11"/>
        <v/>
      </c>
      <c r="Q36" s="160"/>
      <c r="R36" s="195"/>
      <c r="S36" s="161"/>
      <c r="T36" s="20"/>
      <c r="U36" s="20"/>
      <c r="V36" s="20"/>
    </row>
    <row r="37" spans="1:22" x14ac:dyDescent="0.25">
      <c r="A37" s="234">
        <v>5243</v>
      </c>
      <c r="B37" s="162" t="s">
        <v>197</v>
      </c>
      <c r="C37" s="165">
        <v>15167.36</v>
      </c>
      <c r="D37" s="158">
        <v>12103.44</v>
      </c>
      <c r="E37" s="158">
        <v>42549.06</v>
      </c>
      <c r="F37" s="99"/>
      <c r="G37" s="99"/>
      <c r="H37" s="99"/>
      <c r="I37" s="99"/>
      <c r="J37" s="99"/>
      <c r="K37" s="99"/>
      <c r="L37" s="99"/>
      <c r="M37" s="164">
        <f t="shared" si="12"/>
        <v>25000</v>
      </c>
      <c r="N37" s="178">
        <f t="shared" si="13"/>
        <v>25000</v>
      </c>
      <c r="O37" s="179">
        <f t="shared" si="10"/>
        <v>0</v>
      </c>
      <c r="P37" s="166" t="str">
        <f t="shared" si="11"/>
        <v/>
      </c>
      <c r="Q37" s="160"/>
      <c r="R37" s="195"/>
      <c r="S37" s="161"/>
      <c r="T37" s="20"/>
      <c r="U37" s="20"/>
      <c r="V37" s="20"/>
    </row>
    <row r="38" spans="1:22" x14ac:dyDescent="0.25">
      <c r="A38" s="234">
        <v>5251</v>
      </c>
      <c r="B38" s="162" t="s">
        <v>147</v>
      </c>
      <c r="C38" s="165">
        <v>692.5</v>
      </c>
      <c r="D38" s="158">
        <v>0</v>
      </c>
      <c r="E38" s="158"/>
      <c r="F38" s="99"/>
      <c r="G38" s="99"/>
      <c r="H38" s="99"/>
      <c r="I38" s="99"/>
      <c r="J38" s="99"/>
      <c r="K38" s="99"/>
      <c r="L38" s="99"/>
      <c r="M38" s="164">
        <f t="shared" si="12"/>
        <v>800</v>
      </c>
      <c r="N38" s="178">
        <f t="shared" si="13"/>
        <v>800</v>
      </c>
      <c r="O38" s="179">
        <f t="shared" si="10"/>
        <v>0</v>
      </c>
      <c r="P38" s="166" t="str">
        <f t="shared" si="11"/>
        <v/>
      </c>
      <c r="Q38" s="160"/>
      <c r="R38" s="195"/>
      <c r="S38" s="161"/>
      <c r="T38" s="20"/>
      <c r="U38" s="20"/>
      <c r="V38" s="20"/>
    </row>
    <row r="39" spans="1:22" x14ac:dyDescent="0.25">
      <c r="A39" s="234">
        <v>5430</v>
      </c>
      <c r="B39" s="162" t="s">
        <v>154</v>
      </c>
      <c r="C39" s="165">
        <v>1946.02</v>
      </c>
      <c r="D39" s="158">
        <v>2231.6999999999998</v>
      </c>
      <c r="E39" s="158">
        <v>1296.46</v>
      </c>
      <c r="F39" s="99"/>
      <c r="G39" s="99"/>
      <c r="H39" s="99"/>
      <c r="I39" s="99"/>
      <c r="J39" s="99"/>
      <c r="K39" s="99"/>
      <c r="L39" s="99"/>
      <c r="M39" s="164">
        <f t="shared" si="12"/>
        <v>3000</v>
      </c>
      <c r="N39" s="178">
        <f t="shared" si="13"/>
        <v>3000</v>
      </c>
      <c r="O39" s="179">
        <f t="shared" si="10"/>
        <v>0</v>
      </c>
      <c r="P39" s="166" t="str">
        <f t="shared" si="11"/>
        <v/>
      </c>
      <c r="Q39" s="160"/>
      <c r="R39" s="195"/>
      <c r="S39" s="161"/>
      <c r="T39" s="20"/>
      <c r="U39" s="20"/>
      <c r="V39" s="20"/>
    </row>
    <row r="40" spans="1:22" x14ac:dyDescent="0.25">
      <c r="A40" s="234">
        <v>5443</v>
      </c>
      <c r="B40" s="162" t="s">
        <v>158</v>
      </c>
      <c r="C40" s="165">
        <v>601.75</v>
      </c>
      <c r="D40" s="158">
        <v>526.84</v>
      </c>
      <c r="E40" s="158">
        <v>1059.18</v>
      </c>
      <c r="F40" s="99"/>
      <c r="G40" s="99"/>
      <c r="H40" s="99"/>
      <c r="I40" s="99"/>
      <c r="J40" s="99"/>
      <c r="K40" s="99"/>
      <c r="L40" s="99"/>
      <c r="M40" s="164">
        <f t="shared" si="12"/>
        <v>4500</v>
      </c>
      <c r="N40" s="178">
        <f t="shared" si="13"/>
        <v>4500</v>
      </c>
      <c r="O40" s="179">
        <f t="shared" si="10"/>
        <v>0</v>
      </c>
      <c r="P40" s="166" t="str">
        <f t="shared" si="11"/>
        <v/>
      </c>
      <c r="Q40" s="160"/>
      <c r="R40" s="195"/>
      <c r="S40" s="161"/>
      <c r="T40" s="20"/>
      <c r="U40" s="20"/>
      <c r="V40" s="20"/>
    </row>
    <row r="41" spans="1:22" ht="13.8" thickBot="1" x14ac:dyDescent="0.3">
      <c r="A41" s="234">
        <v>5451</v>
      </c>
      <c r="B41" s="162" t="s">
        <v>129</v>
      </c>
      <c r="C41" s="163">
        <v>5018.82</v>
      </c>
      <c r="D41" s="163">
        <v>5254.01</v>
      </c>
      <c r="E41" s="163">
        <v>5220.07</v>
      </c>
      <c r="F41" s="99"/>
      <c r="G41" s="99"/>
      <c r="H41" s="99"/>
      <c r="I41" s="99"/>
      <c r="J41" s="99"/>
      <c r="K41" s="99"/>
      <c r="L41" s="99"/>
      <c r="M41" s="164">
        <f>+O21</f>
        <v>8500</v>
      </c>
      <c r="N41" s="178">
        <f>+Q21</f>
        <v>8500</v>
      </c>
      <c r="O41" s="179">
        <f t="shared" si="10"/>
        <v>0</v>
      </c>
      <c r="P41" s="166" t="str">
        <f t="shared" si="11"/>
        <v/>
      </c>
      <c r="Q41" s="160"/>
      <c r="R41" s="195"/>
      <c r="S41" s="161"/>
      <c r="T41" s="20"/>
      <c r="U41" s="20"/>
      <c r="V41" s="20"/>
    </row>
    <row r="42" spans="1:22" x14ac:dyDescent="0.25">
      <c r="A42" s="219"/>
      <c r="B42" s="3"/>
      <c r="C42" s="18"/>
      <c r="D42" s="18"/>
      <c r="E42" s="18"/>
      <c r="F42" s="18"/>
      <c r="G42" s="18"/>
      <c r="H42" s="99"/>
      <c r="I42" s="99"/>
      <c r="J42" s="99"/>
      <c r="K42" s="99"/>
      <c r="L42" s="99"/>
      <c r="M42" s="18"/>
      <c r="N42" s="18"/>
      <c r="O42" s="18"/>
      <c r="P42" s="3"/>
      <c r="Q42" s="18"/>
      <c r="R42" s="18"/>
      <c r="S42" s="18"/>
      <c r="T42" s="3"/>
      <c r="U42" s="3"/>
      <c r="V42" s="3"/>
    </row>
    <row r="43" spans="1:22" x14ac:dyDescent="0.25">
      <c r="A43" s="219"/>
      <c r="B43" s="3" t="s">
        <v>39</v>
      </c>
      <c r="C43" s="18"/>
      <c r="D43" s="18"/>
      <c r="E43" s="18"/>
      <c r="F43" s="18"/>
      <c r="G43" s="18"/>
      <c r="H43" s="99"/>
      <c r="I43" s="99"/>
      <c r="J43" s="99"/>
      <c r="K43" s="99"/>
      <c r="L43" s="99"/>
      <c r="M43" s="209">
        <f>SUM(M32:M42)</f>
        <v>209295</v>
      </c>
      <c r="N43" s="209">
        <f>SUM(N32:N42)</f>
        <v>207458</v>
      </c>
      <c r="O43" s="20">
        <f>+N43-M43</f>
        <v>-1837</v>
      </c>
      <c r="P43" s="210">
        <f>IF(M43+N43&lt;&gt;0,IF(M43&lt;&gt;0,IF(O43&lt;&gt;0,ROUND((+O43/M43),4),""),1),"")</f>
        <v>-8.8000000000000005E-3</v>
      </c>
      <c r="Q43" s="18"/>
      <c r="R43" s="18"/>
      <c r="S43" s="18"/>
      <c r="T43" s="3"/>
      <c r="U43" s="3"/>
      <c r="V43" s="3"/>
    </row>
    <row r="44" spans="1:22" x14ac:dyDescent="0.25">
      <c r="A44" s="219"/>
      <c r="B44" s="3"/>
      <c r="C44" s="18"/>
      <c r="D44" s="18"/>
      <c r="E44" s="18"/>
      <c r="F44" s="18"/>
      <c r="G44" s="18"/>
      <c r="H44" s="18"/>
      <c r="I44" s="18"/>
      <c r="J44" s="18"/>
      <c r="K44" s="18"/>
      <c r="L44" s="18"/>
      <c r="M44" s="18"/>
      <c r="N44" s="18"/>
      <c r="O44" s="18"/>
      <c r="P44" s="3"/>
      <c r="Q44" s="18"/>
      <c r="R44" s="18"/>
      <c r="S44" s="18"/>
      <c r="T44" s="3"/>
      <c r="U44" s="3"/>
      <c r="V44" s="3"/>
    </row>
    <row r="45" spans="1:22" x14ac:dyDescent="0.25">
      <c r="A45" s="219"/>
      <c r="B45" s="3"/>
      <c r="C45" s="18"/>
      <c r="D45" s="18"/>
      <c r="E45" s="18"/>
      <c r="F45" s="18"/>
      <c r="G45" s="18"/>
      <c r="H45" s="18"/>
      <c r="I45" s="18"/>
      <c r="J45" s="18"/>
      <c r="K45" s="18"/>
      <c r="L45" s="18"/>
      <c r="M45" s="18"/>
      <c r="N45" s="18"/>
      <c r="O45" s="18"/>
      <c r="P45" s="3"/>
      <c r="Q45" s="18"/>
      <c r="R45" s="18"/>
      <c r="S45" s="18"/>
      <c r="T45" s="3"/>
      <c r="U45" s="3"/>
      <c r="V45" s="3"/>
    </row>
    <row r="46" spans="1:22" x14ac:dyDescent="0.25">
      <c r="A46" s="219"/>
      <c r="B46" s="3"/>
      <c r="C46" s="18"/>
      <c r="D46" s="18"/>
      <c r="E46" s="18"/>
      <c r="F46" s="18"/>
      <c r="G46" s="18"/>
      <c r="H46" s="18"/>
      <c r="I46" s="18"/>
      <c r="J46" s="18"/>
      <c r="K46" s="18"/>
      <c r="L46" s="18"/>
      <c r="M46" s="18"/>
      <c r="N46" s="18"/>
      <c r="O46" s="18"/>
      <c r="P46" s="3"/>
      <c r="Q46" s="18"/>
      <c r="R46" s="18"/>
      <c r="S46" s="18"/>
      <c r="T46" s="3"/>
      <c r="U46" s="3"/>
      <c r="V46" s="3"/>
    </row>
    <row r="47" spans="1:22" x14ac:dyDescent="0.25">
      <c r="A47" s="219"/>
      <c r="B47" s="3"/>
      <c r="C47" s="18"/>
      <c r="D47" s="18"/>
      <c r="E47" s="18"/>
      <c r="F47" s="18"/>
      <c r="G47" s="18"/>
      <c r="H47" s="18"/>
      <c r="I47" s="18"/>
      <c r="J47" s="18"/>
      <c r="K47" s="18"/>
      <c r="L47" s="18"/>
      <c r="M47" s="18"/>
      <c r="N47" s="18"/>
      <c r="O47" s="18"/>
      <c r="P47" s="3"/>
      <c r="Q47" s="18"/>
      <c r="R47" s="18"/>
      <c r="S47" s="18"/>
      <c r="T47" s="3"/>
      <c r="U47" s="3"/>
      <c r="V47" s="3"/>
    </row>
    <row r="48" spans="1:22" x14ac:dyDescent="0.25">
      <c r="A48" s="219"/>
      <c r="B48" s="3"/>
      <c r="C48" s="18"/>
      <c r="D48" s="18"/>
      <c r="E48" s="18"/>
      <c r="F48" s="18"/>
      <c r="G48" s="18"/>
      <c r="H48" s="18"/>
      <c r="I48" s="18"/>
      <c r="J48" s="18"/>
      <c r="K48" s="18"/>
      <c r="L48" s="18"/>
      <c r="M48" s="18"/>
      <c r="N48" s="18"/>
      <c r="O48" s="18"/>
      <c r="P48" s="3"/>
      <c r="Q48" s="18"/>
      <c r="R48" s="18"/>
      <c r="S48" s="18"/>
      <c r="T48" s="3"/>
      <c r="U48" s="3"/>
      <c r="V48" s="3"/>
    </row>
    <row r="49" spans="1:22" x14ac:dyDescent="0.25">
      <c r="A49" s="219"/>
      <c r="B49" s="3"/>
      <c r="C49" s="18"/>
      <c r="D49" s="18"/>
      <c r="E49" s="18"/>
      <c r="F49" s="18"/>
      <c r="G49" s="18"/>
      <c r="H49" s="18"/>
      <c r="I49" s="18"/>
      <c r="J49" s="18"/>
      <c r="K49" s="18"/>
      <c r="L49" s="18"/>
      <c r="M49" s="18"/>
      <c r="N49" s="18"/>
      <c r="O49" s="18"/>
      <c r="P49" s="3"/>
      <c r="Q49" s="18"/>
      <c r="R49" s="18"/>
      <c r="S49" s="18"/>
      <c r="T49" s="3"/>
      <c r="U49" s="3"/>
      <c r="V49" s="3"/>
    </row>
    <row r="50" spans="1:22" x14ac:dyDescent="0.25">
      <c r="A50" s="219"/>
      <c r="B50" s="3"/>
      <c r="C50" s="18"/>
      <c r="D50" s="18"/>
      <c r="E50" s="18"/>
      <c r="F50" s="18"/>
      <c r="G50" s="18"/>
      <c r="H50" s="18"/>
      <c r="I50" s="18"/>
      <c r="J50" s="18"/>
      <c r="K50" s="18"/>
      <c r="L50" s="18"/>
      <c r="M50" s="18"/>
      <c r="N50" s="18"/>
      <c r="O50" s="18"/>
      <c r="P50" s="3"/>
      <c r="Q50" s="18"/>
      <c r="R50" s="18"/>
      <c r="S50" s="18"/>
      <c r="T50" s="3"/>
      <c r="U50" s="3"/>
      <c r="V50" s="3"/>
    </row>
    <row r="51" spans="1:22" x14ac:dyDescent="0.25">
      <c r="A51" s="219"/>
      <c r="B51" s="3"/>
      <c r="C51" s="18"/>
      <c r="D51" s="18"/>
      <c r="E51" s="18"/>
      <c r="F51" s="18"/>
      <c r="G51" s="18"/>
      <c r="H51" s="18"/>
      <c r="I51" s="18"/>
      <c r="J51" s="18"/>
      <c r="K51" s="18"/>
      <c r="L51" s="18"/>
      <c r="M51" s="18"/>
      <c r="N51" s="18"/>
      <c r="O51" s="18"/>
      <c r="P51" s="3"/>
      <c r="Q51" s="18"/>
      <c r="R51" s="18"/>
      <c r="S51" s="18"/>
      <c r="T51" s="3"/>
      <c r="U51" s="3"/>
      <c r="V51" s="3"/>
    </row>
    <row r="52" spans="1:22" x14ac:dyDescent="0.25">
      <c r="A52" s="219"/>
      <c r="B52" s="3"/>
      <c r="C52" s="18"/>
      <c r="D52" s="18"/>
      <c r="E52" s="18"/>
      <c r="F52" s="18"/>
      <c r="G52" s="18"/>
      <c r="H52" s="18"/>
      <c r="I52" s="18"/>
      <c r="J52" s="18"/>
      <c r="K52" s="18"/>
      <c r="L52" s="18"/>
      <c r="M52" s="18"/>
      <c r="N52" s="18"/>
      <c r="O52" s="18"/>
      <c r="P52" s="3"/>
      <c r="Q52" s="18"/>
      <c r="R52" s="18"/>
      <c r="S52" s="18"/>
      <c r="T52" s="3"/>
      <c r="U52" s="3"/>
      <c r="V52" s="3"/>
    </row>
    <row r="53" spans="1:22" x14ac:dyDescent="0.25">
      <c r="A53" s="219"/>
      <c r="B53" s="3"/>
      <c r="C53" s="18"/>
      <c r="D53" s="18"/>
      <c r="E53" s="18"/>
      <c r="F53" s="18"/>
      <c r="G53" s="18"/>
      <c r="H53" s="18"/>
      <c r="I53" s="18"/>
      <c r="J53" s="18"/>
      <c r="K53" s="18"/>
      <c r="L53" s="18"/>
      <c r="M53" s="18"/>
      <c r="N53" s="18"/>
      <c r="O53" s="18"/>
      <c r="P53" s="3"/>
      <c r="Q53" s="18"/>
      <c r="R53" s="18"/>
      <c r="S53" s="18"/>
      <c r="T53" s="3"/>
      <c r="U53" s="3"/>
      <c r="V53" s="3"/>
    </row>
    <row r="54" spans="1:22" x14ac:dyDescent="0.25">
      <c r="A54" s="219"/>
      <c r="B54" s="3"/>
      <c r="C54" s="18"/>
      <c r="D54" s="18"/>
      <c r="E54" s="18"/>
      <c r="F54" s="18"/>
      <c r="G54" s="18"/>
      <c r="H54" s="18"/>
      <c r="I54" s="18"/>
      <c r="J54" s="18"/>
      <c r="K54" s="18"/>
      <c r="L54" s="18"/>
      <c r="M54" s="18"/>
      <c r="N54" s="18"/>
      <c r="O54" s="18"/>
      <c r="P54" s="3"/>
      <c r="Q54" s="18"/>
      <c r="R54" s="18"/>
      <c r="S54" s="18"/>
      <c r="T54" s="3"/>
      <c r="U54" s="3"/>
      <c r="V54" s="3"/>
    </row>
    <row r="55" spans="1:22" x14ac:dyDescent="0.25">
      <c r="A55" s="219"/>
      <c r="B55" s="3"/>
      <c r="C55" s="18"/>
      <c r="D55" s="18"/>
      <c r="E55" s="18"/>
      <c r="F55" s="18"/>
      <c r="G55" s="18"/>
      <c r="H55" s="18"/>
      <c r="I55" s="18"/>
      <c r="J55" s="18"/>
      <c r="K55" s="18"/>
      <c r="L55" s="18"/>
      <c r="M55" s="18"/>
      <c r="N55" s="18"/>
      <c r="O55" s="18"/>
      <c r="P55" s="3"/>
      <c r="Q55" s="18"/>
      <c r="R55" s="18"/>
      <c r="S55" s="18"/>
      <c r="T55" s="3"/>
      <c r="U55" s="3"/>
      <c r="V55" s="3"/>
    </row>
    <row r="56" spans="1:22" x14ac:dyDescent="0.25">
      <c r="A56" s="219"/>
      <c r="B56" s="3"/>
      <c r="C56" s="18"/>
      <c r="D56" s="18"/>
      <c r="E56" s="18"/>
      <c r="F56" s="18"/>
      <c r="G56" s="18"/>
      <c r="H56" s="18"/>
      <c r="I56" s="18"/>
      <c r="J56" s="18"/>
      <c r="K56" s="18"/>
      <c r="L56" s="18"/>
      <c r="M56" s="18"/>
      <c r="N56" s="18"/>
      <c r="O56" s="18"/>
      <c r="P56" s="3"/>
      <c r="Q56" s="18"/>
      <c r="R56" s="18"/>
      <c r="S56" s="18"/>
      <c r="T56" s="3"/>
      <c r="U56" s="3"/>
      <c r="V56" s="3"/>
    </row>
    <row r="57" spans="1:22" x14ac:dyDescent="0.25">
      <c r="A57" s="219"/>
      <c r="B57" s="3"/>
      <c r="C57" s="18"/>
      <c r="D57" s="18"/>
      <c r="E57" s="18"/>
      <c r="F57" s="18"/>
      <c r="G57" s="18"/>
      <c r="H57" s="18"/>
      <c r="I57" s="18"/>
      <c r="J57" s="18"/>
      <c r="K57" s="18"/>
      <c r="L57" s="18"/>
      <c r="M57" s="18"/>
      <c r="N57" s="18"/>
      <c r="O57" s="18"/>
      <c r="P57" s="3"/>
      <c r="Q57" s="18"/>
      <c r="R57" s="18"/>
      <c r="S57" s="18"/>
      <c r="T57" s="3"/>
      <c r="U57" s="3"/>
      <c r="V57" s="3"/>
    </row>
    <row r="58" spans="1:22" x14ac:dyDescent="0.25">
      <c r="A58" s="219"/>
      <c r="B58" s="3"/>
      <c r="C58" s="18"/>
      <c r="D58" s="18"/>
      <c r="E58" s="18"/>
      <c r="F58" s="18"/>
      <c r="G58" s="18"/>
      <c r="H58" s="18"/>
      <c r="I58" s="18"/>
      <c r="J58" s="18"/>
      <c r="K58" s="18"/>
      <c r="L58" s="18"/>
      <c r="M58" s="18"/>
      <c r="N58" s="18"/>
      <c r="O58" s="18"/>
      <c r="P58" s="3"/>
      <c r="Q58" s="18"/>
      <c r="R58" s="18"/>
      <c r="S58" s="18"/>
      <c r="T58" s="3"/>
      <c r="U58" s="3"/>
      <c r="V58" s="3"/>
    </row>
    <row r="59" spans="1:22" x14ac:dyDescent="0.25">
      <c r="A59" s="219"/>
      <c r="B59" s="3"/>
      <c r="C59" s="18"/>
      <c r="D59" s="18"/>
      <c r="E59" s="18"/>
      <c r="F59" s="18"/>
      <c r="G59" s="18"/>
      <c r="H59" s="18"/>
      <c r="I59" s="18"/>
      <c r="J59" s="18"/>
      <c r="K59" s="18"/>
      <c r="L59" s="18"/>
      <c r="M59" s="18"/>
      <c r="N59" s="18"/>
      <c r="O59" s="18"/>
      <c r="P59" s="3"/>
      <c r="Q59" s="18"/>
      <c r="R59" s="18"/>
      <c r="S59" s="18"/>
      <c r="T59" s="3"/>
      <c r="U59" s="3"/>
      <c r="V59" s="3"/>
    </row>
    <row r="60" spans="1:22" x14ac:dyDescent="0.25">
      <c r="A60" s="219"/>
      <c r="B60" s="3"/>
      <c r="C60" s="18"/>
      <c r="D60" s="18"/>
      <c r="E60" s="18"/>
      <c r="F60" s="18"/>
      <c r="G60" s="18"/>
      <c r="H60" s="18"/>
      <c r="I60" s="18"/>
      <c r="J60" s="18"/>
      <c r="K60" s="18"/>
      <c r="L60" s="18"/>
      <c r="M60" s="18"/>
      <c r="N60" s="18"/>
      <c r="O60" s="18"/>
      <c r="P60" s="3"/>
      <c r="Q60" s="18"/>
      <c r="R60" s="18"/>
      <c r="S60" s="18"/>
      <c r="T60" s="3"/>
      <c r="U60" s="3"/>
      <c r="V60" s="3"/>
    </row>
    <row r="61" spans="1:22" x14ac:dyDescent="0.25">
      <c r="A61" s="219"/>
      <c r="B61" s="3"/>
      <c r="C61" s="18"/>
      <c r="D61" s="18"/>
      <c r="E61" s="18"/>
      <c r="F61" s="18"/>
      <c r="G61" s="18"/>
      <c r="H61" s="18"/>
      <c r="I61" s="18"/>
      <c r="J61" s="18"/>
      <c r="K61" s="18"/>
      <c r="L61" s="18"/>
      <c r="M61" s="18"/>
      <c r="N61" s="18"/>
      <c r="O61" s="18"/>
      <c r="P61" s="3"/>
      <c r="Q61" s="18"/>
      <c r="R61" s="18"/>
      <c r="S61" s="18"/>
      <c r="T61" s="3"/>
      <c r="U61" s="3"/>
      <c r="V61" s="3"/>
    </row>
    <row r="62" spans="1:22" x14ac:dyDescent="0.25">
      <c r="A62" s="219"/>
      <c r="B62" s="3"/>
      <c r="C62" s="18"/>
      <c r="D62" s="18"/>
      <c r="E62" s="18"/>
      <c r="F62" s="18"/>
      <c r="G62" s="18"/>
      <c r="H62" s="18"/>
      <c r="I62" s="18"/>
      <c r="J62" s="18"/>
      <c r="K62" s="18"/>
      <c r="L62" s="18"/>
      <c r="M62" s="18"/>
      <c r="N62" s="18"/>
      <c r="O62" s="18"/>
      <c r="P62" s="3"/>
      <c r="Q62" s="18"/>
      <c r="R62" s="18"/>
      <c r="S62" s="18"/>
      <c r="T62" s="3"/>
      <c r="U62" s="3"/>
      <c r="V62" s="3"/>
    </row>
    <row r="63" spans="1:22" x14ac:dyDescent="0.25">
      <c r="A63" s="219"/>
      <c r="B63" s="3"/>
      <c r="C63" s="18"/>
      <c r="D63" s="18"/>
      <c r="E63" s="18"/>
      <c r="F63" s="18"/>
      <c r="G63" s="18"/>
      <c r="H63" s="18"/>
      <c r="I63" s="18"/>
      <c r="J63" s="18"/>
      <c r="K63" s="18"/>
      <c r="L63" s="18"/>
      <c r="M63" s="18"/>
      <c r="N63" s="18"/>
      <c r="O63" s="18"/>
      <c r="P63" s="3"/>
      <c r="Q63" s="18"/>
      <c r="R63" s="18"/>
      <c r="S63" s="18"/>
      <c r="T63" s="3"/>
      <c r="U63" s="3"/>
      <c r="V63" s="3"/>
    </row>
    <row r="64" spans="1:22" x14ac:dyDescent="0.25">
      <c r="A64" s="219"/>
      <c r="B64" s="3"/>
      <c r="C64" s="18"/>
      <c r="D64" s="18"/>
      <c r="E64" s="18"/>
      <c r="F64" s="18"/>
      <c r="G64" s="18"/>
      <c r="H64" s="18"/>
      <c r="I64" s="18"/>
      <c r="J64" s="18"/>
      <c r="K64" s="18"/>
      <c r="L64" s="18"/>
      <c r="M64" s="18"/>
      <c r="N64" s="18"/>
      <c r="O64" s="18"/>
      <c r="P64" s="3"/>
      <c r="Q64" s="18"/>
      <c r="R64" s="18"/>
      <c r="S64" s="18"/>
      <c r="T64" s="3"/>
      <c r="U64" s="3"/>
      <c r="V64" s="3"/>
    </row>
    <row r="65" spans="1:22" x14ac:dyDescent="0.25">
      <c r="A65" s="219"/>
      <c r="B65" s="3"/>
      <c r="C65" s="18"/>
      <c r="D65" s="18"/>
      <c r="E65" s="18"/>
      <c r="F65" s="18"/>
      <c r="G65" s="18"/>
      <c r="H65" s="18"/>
      <c r="I65" s="18"/>
      <c r="J65" s="18"/>
      <c r="K65" s="18"/>
      <c r="L65" s="18"/>
      <c r="M65" s="18"/>
      <c r="N65" s="18"/>
      <c r="O65" s="18"/>
      <c r="P65" s="3"/>
      <c r="Q65" s="18"/>
      <c r="R65" s="18"/>
      <c r="S65" s="18"/>
      <c r="T65" s="3"/>
      <c r="U65" s="3"/>
      <c r="V65" s="3"/>
    </row>
    <row r="66" spans="1:22" x14ac:dyDescent="0.25">
      <c r="A66" s="219"/>
      <c r="B66" s="3"/>
      <c r="C66" s="18"/>
      <c r="D66" s="18"/>
      <c r="E66" s="18"/>
      <c r="F66" s="18"/>
      <c r="G66" s="18"/>
      <c r="H66" s="18"/>
      <c r="I66" s="18"/>
      <c r="J66" s="18"/>
      <c r="K66" s="18"/>
      <c r="L66" s="18"/>
      <c r="M66" s="18"/>
      <c r="N66" s="18"/>
      <c r="O66" s="18"/>
      <c r="P66" s="3"/>
      <c r="Q66" s="18"/>
      <c r="R66" s="18"/>
      <c r="S66" s="18"/>
      <c r="T66" s="3"/>
      <c r="U66" s="3"/>
      <c r="V66" s="3"/>
    </row>
    <row r="67" spans="1:22" x14ac:dyDescent="0.25">
      <c r="A67" s="219"/>
      <c r="B67" s="3"/>
      <c r="C67" s="18"/>
      <c r="D67" s="18"/>
      <c r="E67" s="18"/>
      <c r="F67" s="18"/>
      <c r="G67" s="18"/>
      <c r="H67" s="18"/>
      <c r="I67" s="18"/>
      <c r="J67" s="18"/>
      <c r="K67" s="18"/>
      <c r="L67" s="18"/>
      <c r="M67" s="18"/>
      <c r="N67" s="18"/>
      <c r="O67" s="18"/>
      <c r="P67" s="3"/>
      <c r="Q67" s="18"/>
      <c r="R67" s="18"/>
      <c r="S67" s="18"/>
      <c r="T67" s="3"/>
      <c r="U67" s="3"/>
      <c r="V67" s="3"/>
    </row>
    <row r="68" spans="1:22" x14ac:dyDescent="0.25">
      <c r="A68" s="219"/>
      <c r="B68" s="3"/>
      <c r="C68" s="18"/>
      <c r="D68" s="18"/>
      <c r="E68" s="18"/>
      <c r="F68" s="18"/>
      <c r="G68" s="18"/>
      <c r="H68" s="18"/>
      <c r="I68" s="18"/>
      <c r="J68" s="18"/>
      <c r="K68" s="18"/>
      <c r="L68" s="18"/>
      <c r="M68" s="18"/>
      <c r="N68" s="18"/>
      <c r="O68" s="18"/>
      <c r="P68" s="3"/>
      <c r="Q68" s="18"/>
      <c r="R68" s="18"/>
      <c r="S68" s="18"/>
      <c r="T68" s="3"/>
      <c r="U68" s="3"/>
      <c r="V68" s="3"/>
    </row>
    <row r="69" spans="1:22" x14ac:dyDescent="0.25">
      <c r="A69" s="219"/>
      <c r="B69" s="3"/>
      <c r="C69" s="18"/>
      <c r="D69" s="18"/>
      <c r="E69" s="18"/>
      <c r="F69" s="18"/>
      <c r="G69" s="18"/>
      <c r="H69" s="18"/>
      <c r="I69" s="18"/>
      <c r="J69" s="18"/>
      <c r="K69" s="18"/>
      <c r="L69" s="18"/>
      <c r="M69" s="18"/>
      <c r="N69" s="18"/>
      <c r="O69" s="18"/>
      <c r="P69" s="3"/>
      <c r="Q69" s="18"/>
      <c r="R69" s="18"/>
      <c r="S69" s="18"/>
      <c r="T69" s="3"/>
      <c r="U69" s="3"/>
      <c r="V69" s="3"/>
    </row>
    <row r="70" spans="1:22" x14ac:dyDescent="0.25">
      <c r="A70" s="219"/>
      <c r="B70" s="3"/>
      <c r="C70" s="18"/>
      <c r="D70" s="18"/>
      <c r="E70" s="18"/>
      <c r="F70" s="18"/>
      <c r="G70" s="18"/>
      <c r="H70" s="18"/>
      <c r="I70" s="18"/>
      <c r="J70" s="18"/>
      <c r="K70" s="18"/>
      <c r="L70" s="18"/>
      <c r="M70" s="18"/>
      <c r="N70" s="18"/>
      <c r="O70" s="18"/>
      <c r="P70" s="3"/>
      <c r="Q70" s="18"/>
      <c r="R70" s="18"/>
      <c r="S70" s="18"/>
      <c r="T70" s="3"/>
      <c r="U70" s="3"/>
      <c r="V70" s="3"/>
    </row>
    <row r="71" spans="1:22" x14ac:dyDescent="0.25">
      <c r="A71" s="219"/>
      <c r="B71" s="3"/>
      <c r="C71" s="18"/>
      <c r="D71" s="18"/>
      <c r="E71" s="18"/>
      <c r="F71" s="18"/>
      <c r="G71" s="18"/>
      <c r="H71" s="18"/>
      <c r="I71" s="18"/>
      <c r="J71" s="18"/>
      <c r="K71" s="18"/>
      <c r="L71" s="18"/>
      <c r="M71" s="18"/>
      <c r="N71" s="18"/>
      <c r="O71" s="18"/>
      <c r="P71" s="3"/>
      <c r="Q71" s="18"/>
      <c r="R71" s="18"/>
      <c r="S71" s="18"/>
      <c r="T71" s="3"/>
      <c r="U71" s="3"/>
      <c r="V71" s="3"/>
    </row>
    <row r="72" spans="1:22" x14ac:dyDescent="0.25">
      <c r="A72" s="219"/>
      <c r="B72" s="3"/>
      <c r="C72" s="18"/>
      <c r="D72" s="18"/>
      <c r="E72" s="18"/>
      <c r="F72" s="18"/>
      <c r="G72" s="18"/>
      <c r="H72" s="18"/>
      <c r="I72" s="18"/>
      <c r="J72" s="18"/>
      <c r="K72" s="18"/>
      <c r="L72" s="18"/>
      <c r="M72" s="18"/>
      <c r="N72" s="18"/>
      <c r="O72" s="18"/>
      <c r="P72" s="3"/>
      <c r="Q72" s="18"/>
      <c r="R72" s="18"/>
      <c r="S72" s="18"/>
      <c r="T72" s="3"/>
      <c r="U72" s="3"/>
      <c r="V72" s="3"/>
    </row>
    <row r="73" spans="1:22" x14ac:dyDescent="0.25">
      <c r="A73" s="219"/>
      <c r="B73" s="3"/>
      <c r="C73" s="18"/>
      <c r="D73" s="18"/>
      <c r="E73" s="18"/>
      <c r="F73" s="18"/>
      <c r="G73" s="18"/>
      <c r="H73" s="18"/>
      <c r="I73" s="18"/>
      <c r="J73" s="18"/>
      <c r="K73" s="18"/>
      <c r="L73" s="18"/>
      <c r="M73" s="18"/>
      <c r="N73" s="18"/>
      <c r="O73" s="18"/>
      <c r="P73" s="3"/>
      <c r="Q73" s="18"/>
      <c r="R73" s="18"/>
      <c r="S73" s="18"/>
      <c r="T73" s="3"/>
      <c r="U73" s="3"/>
      <c r="V73" s="3"/>
    </row>
    <row r="74" spans="1:22" x14ac:dyDescent="0.25">
      <c r="A74" s="219"/>
      <c r="B74" s="3"/>
      <c r="C74" s="18"/>
      <c r="D74" s="18"/>
      <c r="E74" s="18"/>
      <c r="F74" s="18"/>
      <c r="G74" s="18"/>
      <c r="H74" s="18"/>
      <c r="I74" s="18"/>
      <c r="J74" s="18"/>
      <c r="K74" s="18"/>
      <c r="L74" s="18"/>
      <c r="M74" s="18"/>
      <c r="N74" s="18"/>
      <c r="O74" s="18"/>
      <c r="P74" s="3"/>
      <c r="Q74" s="18"/>
      <c r="R74" s="18"/>
      <c r="S74" s="18"/>
      <c r="T74" s="3"/>
      <c r="U74" s="3"/>
      <c r="V74" s="3"/>
    </row>
    <row r="75" spans="1:22" x14ac:dyDescent="0.25">
      <c r="A75" s="219"/>
      <c r="B75" s="3"/>
      <c r="C75" s="18"/>
      <c r="D75" s="18"/>
      <c r="E75" s="18"/>
      <c r="F75" s="18"/>
      <c r="G75" s="18"/>
      <c r="H75" s="18"/>
      <c r="I75" s="18"/>
      <c r="J75" s="18"/>
      <c r="K75" s="18"/>
      <c r="L75" s="18"/>
      <c r="M75" s="18"/>
      <c r="N75" s="18"/>
      <c r="O75" s="18"/>
      <c r="P75" s="3"/>
      <c r="Q75" s="18"/>
      <c r="R75" s="18"/>
      <c r="S75" s="18"/>
      <c r="T75" s="3"/>
      <c r="U75" s="3"/>
      <c r="V75" s="3"/>
    </row>
    <row r="76" spans="1:22" x14ac:dyDescent="0.25">
      <c r="A76" s="219"/>
      <c r="B76" s="3"/>
      <c r="C76" s="18"/>
      <c r="D76" s="18"/>
      <c r="E76" s="18"/>
      <c r="F76" s="18"/>
      <c r="G76" s="18"/>
      <c r="H76" s="18"/>
      <c r="I76" s="18"/>
      <c r="J76" s="18"/>
      <c r="K76" s="18"/>
      <c r="L76" s="18"/>
      <c r="M76" s="18"/>
      <c r="N76" s="18"/>
      <c r="O76" s="18"/>
      <c r="P76" s="3"/>
      <c r="Q76" s="18"/>
      <c r="R76" s="18"/>
      <c r="S76" s="18"/>
      <c r="T76" s="3"/>
      <c r="U76" s="3"/>
      <c r="V76" s="3"/>
    </row>
    <row r="77" spans="1:22" x14ac:dyDescent="0.25">
      <c r="A77" s="219"/>
      <c r="B77" s="3"/>
      <c r="C77" s="18"/>
      <c r="D77" s="18"/>
      <c r="E77" s="18"/>
      <c r="F77" s="18"/>
      <c r="G77" s="18"/>
      <c r="H77" s="18"/>
      <c r="I77" s="18"/>
      <c r="J77" s="18"/>
      <c r="K77" s="18"/>
      <c r="L77" s="18"/>
      <c r="M77" s="18"/>
      <c r="N77" s="18"/>
      <c r="O77" s="18"/>
      <c r="P77" s="3"/>
      <c r="Q77" s="18"/>
      <c r="R77" s="18"/>
      <c r="S77" s="18"/>
      <c r="T77" s="3"/>
      <c r="U77" s="3"/>
      <c r="V77" s="3"/>
    </row>
    <row r="78" spans="1:22" x14ac:dyDescent="0.25">
      <c r="A78" s="219"/>
      <c r="B78" s="3"/>
      <c r="C78" s="18"/>
      <c r="D78" s="18"/>
      <c r="E78" s="18"/>
      <c r="F78" s="18"/>
      <c r="G78" s="18"/>
      <c r="H78" s="18"/>
      <c r="I78" s="18"/>
      <c r="J78" s="18"/>
      <c r="K78" s="18"/>
      <c r="L78" s="18"/>
      <c r="M78" s="18"/>
      <c r="N78" s="18"/>
      <c r="O78" s="18"/>
      <c r="P78" s="3"/>
      <c r="Q78" s="18"/>
      <c r="R78" s="18"/>
      <c r="S78" s="18"/>
      <c r="T78" s="3"/>
      <c r="U78" s="3"/>
      <c r="V78" s="3"/>
    </row>
    <row r="79" spans="1:22" x14ac:dyDescent="0.25">
      <c r="A79" s="219"/>
      <c r="B79" s="3"/>
      <c r="C79" s="18"/>
      <c r="D79" s="18"/>
      <c r="E79" s="18"/>
      <c r="F79" s="18"/>
      <c r="G79" s="18"/>
      <c r="H79" s="18"/>
      <c r="I79" s="18"/>
      <c r="J79" s="18"/>
      <c r="K79" s="18"/>
      <c r="L79" s="18"/>
      <c r="M79" s="18"/>
      <c r="N79" s="18"/>
      <c r="O79" s="18"/>
      <c r="P79" s="3"/>
      <c r="Q79" s="18"/>
      <c r="R79" s="18"/>
      <c r="S79" s="18"/>
      <c r="T79" s="3"/>
      <c r="U79" s="3"/>
      <c r="V79" s="3"/>
    </row>
    <row r="80" spans="1:22" x14ac:dyDescent="0.25">
      <c r="A80" s="219"/>
      <c r="B80" s="3"/>
      <c r="C80" s="18"/>
      <c r="D80" s="18"/>
      <c r="E80" s="18"/>
      <c r="F80" s="18"/>
      <c r="G80" s="18"/>
      <c r="H80" s="18"/>
      <c r="I80" s="18"/>
      <c r="J80" s="18"/>
      <c r="K80" s="18"/>
      <c r="L80" s="18"/>
      <c r="M80" s="18"/>
      <c r="N80" s="18"/>
      <c r="O80" s="18"/>
      <c r="P80" s="3"/>
      <c r="Q80" s="18"/>
      <c r="R80" s="18"/>
      <c r="S80" s="18"/>
      <c r="T80" s="3"/>
      <c r="U80" s="3"/>
      <c r="V80" s="3"/>
    </row>
    <row r="81" spans="1:22" x14ac:dyDescent="0.25">
      <c r="A81" s="219"/>
      <c r="B81" s="3"/>
      <c r="C81" s="18"/>
      <c r="D81" s="18"/>
      <c r="E81" s="18"/>
      <c r="F81" s="18"/>
      <c r="G81" s="18"/>
      <c r="H81" s="18"/>
      <c r="I81" s="18"/>
      <c r="J81" s="18"/>
      <c r="K81" s="18"/>
      <c r="L81" s="18"/>
      <c r="M81" s="18"/>
      <c r="N81" s="18"/>
      <c r="O81" s="18"/>
      <c r="P81" s="3"/>
      <c r="Q81" s="18"/>
      <c r="R81" s="18"/>
      <c r="S81" s="18"/>
      <c r="T81" s="3"/>
      <c r="U81" s="3"/>
      <c r="V81" s="3"/>
    </row>
    <row r="82" spans="1:22" x14ac:dyDescent="0.25">
      <c r="A82" s="219"/>
      <c r="B82" s="3"/>
      <c r="C82" s="18"/>
      <c r="D82" s="18"/>
      <c r="E82" s="18"/>
      <c r="F82" s="18"/>
      <c r="G82" s="18"/>
      <c r="H82" s="18"/>
      <c r="I82" s="18"/>
      <c r="J82" s="18"/>
      <c r="K82" s="18"/>
      <c r="L82" s="18"/>
      <c r="M82" s="18"/>
      <c r="N82" s="18"/>
      <c r="O82" s="18"/>
      <c r="P82" s="3"/>
      <c r="Q82" s="18"/>
      <c r="R82" s="18"/>
      <c r="S82" s="18"/>
      <c r="T82" s="3"/>
      <c r="U82" s="3"/>
      <c r="V82" s="3"/>
    </row>
    <row r="83" spans="1:22" x14ac:dyDescent="0.25">
      <c r="A83" s="219"/>
      <c r="B83" s="3"/>
      <c r="C83" s="18"/>
      <c r="D83" s="18"/>
      <c r="E83" s="18"/>
      <c r="F83" s="18"/>
      <c r="G83" s="18"/>
      <c r="H83" s="18"/>
      <c r="I83" s="18"/>
      <c r="J83" s="18"/>
      <c r="K83" s="18"/>
      <c r="L83" s="18"/>
      <c r="M83" s="18"/>
      <c r="N83" s="18"/>
      <c r="O83" s="18"/>
      <c r="P83" s="3"/>
      <c r="Q83" s="18"/>
      <c r="R83" s="18"/>
      <c r="S83" s="18"/>
      <c r="T83" s="3"/>
      <c r="U83" s="3"/>
      <c r="V83" s="3"/>
    </row>
    <row r="84" spans="1:22" x14ac:dyDescent="0.25">
      <c r="A84" s="219"/>
      <c r="B84" s="3"/>
      <c r="C84" s="18"/>
      <c r="D84" s="18"/>
      <c r="E84" s="18"/>
      <c r="F84" s="18"/>
      <c r="G84" s="18"/>
      <c r="H84" s="18"/>
      <c r="I84" s="18"/>
      <c r="J84" s="18"/>
      <c r="K84" s="18"/>
      <c r="L84" s="18"/>
      <c r="M84" s="18"/>
      <c r="N84" s="18"/>
      <c r="O84" s="18"/>
      <c r="P84" s="3"/>
      <c r="Q84" s="18"/>
      <c r="R84" s="18"/>
      <c r="S84" s="18"/>
      <c r="T84" s="3"/>
      <c r="U84" s="3"/>
      <c r="V84" s="3"/>
    </row>
    <row r="85" spans="1:22" x14ac:dyDescent="0.25">
      <c r="A85" s="219"/>
      <c r="B85" s="3"/>
      <c r="C85" s="18"/>
      <c r="D85" s="18"/>
      <c r="E85" s="18"/>
      <c r="F85" s="18"/>
      <c r="G85" s="18"/>
      <c r="H85" s="18"/>
      <c r="I85" s="18"/>
      <c r="J85" s="18"/>
      <c r="K85" s="18"/>
      <c r="L85" s="18"/>
      <c r="M85" s="18"/>
      <c r="N85" s="18"/>
      <c r="O85" s="18"/>
      <c r="P85" s="3"/>
      <c r="Q85" s="18"/>
      <c r="R85" s="18"/>
      <c r="S85" s="18"/>
      <c r="T85" s="3"/>
      <c r="U85" s="3"/>
      <c r="V85" s="3"/>
    </row>
    <row r="86" spans="1:22" x14ac:dyDescent="0.25">
      <c r="A86" s="219"/>
      <c r="B86" s="3"/>
      <c r="C86" s="18"/>
      <c r="D86" s="18"/>
      <c r="E86" s="18"/>
      <c r="F86" s="18"/>
      <c r="G86" s="18"/>
      <c r="H86" s="18"/>
      <c r="I86" s="18"/>
      <c r="J86" s="18"/>
      <c r="K86" s="18"/>
      <c r="L86" s="18"/>
      <c r="M86" s="18"/>
      <c r="N86" s="18"/>
      <c r="O86" s="18"/>
      <c r="P86" s="3"/>
      <c r="Q86" s="18"/>
      <c r="R86" s="18"/>
      <c r="S86" s="18"/>
      <c r="T86" s="3"/>
      <c r="U86" s="3"/>
      <c r="V86" s="3"/>
    </row>
    <row r="87" spans="1:22" x14ac:dyDescent="0.25">
      <c r="A87" s="219"/>
      <c r="B87" s="3"/>
      <c r="C87" s="18"/>
      <c r="D87" s="18"/>
      <c r="E87" s="18"/>
      <c r="F87" s="18"/>
      <c r="G87" s="18"/>
      <c r="H87" s="18"/>
      <c r="I87" s="18"/>
      <c r="J87" s="18"/>
      <c r="K87" s="18"/>
      <c r="L87" s="18"/>
      <c r="M87" s="18"/>
      <c r="N87" s="18"/>
      <c r="O87" s="18"/>
      <c r="P87" s="3"/>
      <c r="Q87" s="18"/>
      <c r="R87" s="18"/>
      <c r="S87" s="18"/>
      <c r="T87" s="3"/>
      <c r="U87" s="3"/>
      <c r="V87" s="3"/>
    </row>
    <row r="88" spans="1:22" x14ac:dyDescent="0.25">
      <c r="A88" s="219"/>
      <c r="B88" s="3"/>
      <c r="C88" s="18"/>
      <c r="D88" s="18"/>
      <c r="E88" s="18"/>
      <c r="F88" s="18"/>
      <c r="G88" s="18"/>
      <c r="H88" s="18"/>
      <c r="I88" s="18"/>
      <c r="J88" s="18"/>
      <c r="K88" s="18"/>
      <c r="L88" s="18"/>
      <c r="M88" s="18"/>
      <c r="N88" s="18"/>
      <c r="O88" s="18"/>
      <c r="P88" s="3"/>
      <c r="Q88" s="18"/>
      <c r="R88" s="18"/>
      <c r="S88" s="18"/>
      <c r="T88" s="3"/>
      <c r="U88" s="3"/>
      <c r="V88" s="3"/>
    </row>
    <row r="89" spans="1:22" x14ac:dyDescent="0.25">
      <c r="A89" s="219"/>
      <c r="B89" s="3"/>
      <c r="C89" s="18"/>
      <c r="D89" s="18"/>
      <c r="E89" s="18"/>
      <c r="F89" s="18"/>
      <c r="G89" s="18"/>
      <c r="H89" s="18"/>
      <c r="I89" s="18"/>
      <c r="J89" s="18"/>
      <c r="K89" s="18"/>
      <c r="L89" s="18"/>
      <c r="M89" s="18"/>
      <c r="N89" s="18"/>
      <c r="O89" s="18"/>
      <c r="P89" s="3"/>
      <c r="Q89" s="18"/>
      <c r="R89" s="18"/>
      <c r="S89" s="18"/>
      <c r="T89" s="3"/>
      <c r="U89" s="3"/>
      <c r="V89" s="3"/>
    </row>
    <row r="90" spans="1:22" x14ac:dyDescent="0.25">
      <c r="A90" s="219"/>
      <c r="B90" s="3"/>
      <c r="C90" s="18"/>
      <c r="D90" s="18"/>
      <c r="E90" s="18"/>
      <c r="F90" s="18"/>
      <c r="G90" s="18"/>
      <c r="H90" s="18"/>
      <c r="I90" s="18"/>
      <c r="J90" s="18"/>
      <c r="K90" s="18"/>
      <c r="L90" s="18"/>
      <c r="M90" s="18"/>
      <c r="N90" s="18"/>
      <c r="O90" s="18"/>
      <c r="P90" s="3"/>
      <c r="Q90" s="18"/>
      <c r="R90" s="18"/>
      <c r="S90" s="18"/>
      <c r="T90" s="3"/>
      <c r="U90" s="3"/>
      <c r="V90" s="3"/>
    </row>
    <row r="91" spans="1:22" x14ac:dyDescent="0.25">
      <c r="A91" s="219"/>
      <c r="B91" s="3"/>
      <c r="C91" s="18"/>
      <c r="D91" s="18"/>
      <c r="E91" s="18"/>
      <c r="F91" s="18"/>
      <c r="G91" s="18"/>
      <c r="H91" s="18"/>
      <c r="I91" s="18"/>
      <c r="J91" s="18"/>
      <c r="K91" s="18"/>
      <c r="L91" s="18"/>
      <c r="M91" s="18"/>
      <c r="N91" s="18"/>
      <c r="O91" s="18"/>
      <c r="P91" s="3"/>
      <c r="Q91" s="18"/>
      <c r="R91" s="18"/>
      <c r="S91" s="18"/>
      <c r="T91" s="3"/>
      <c r="U91" s="3"/>
      <c r="V91" s="3"/>
    </row>
    <row r="92" spans="1:22" x14ac:dyDescent="0.25">
      <c r="A92" s="219"/>
      <c r="B92" s="3"/>
      <c r="C92" s="18"/>
      <c r="D92" s="18"/>
      <c r="E92" s="18"/>
      <c r="F92" s="18"/>
      <c r="G92" s="18"/>
      <c r="H92" s="18"/>
      <c r="I92" s="18"/>
      <c r="J92" s="18"/>
      <c r="K92" s="18"/>
      <c r="L92" s="18"/>
      <c r="M92" s="18"/>
      <c r="N92" s="18"/>
      <c r="O92" s="18"/>
      <c r="P92" s="3"/>
      <c r="Q92" s="18"/>
      <c r="R92" s="18"/>
      <c r="S92" s="18"/>
      <c r="T92" s="3"/>
      <c r="U92" s="3"/>
      <c r="V92" s="3"/>
    </row>
    <row r="93" spans="1:22" x14ac:dyDescent="0.25">
      <c r="A93" s="219"/>
      <c r="B93" s="3"/>
      <c r="C93" s="18"/>
      <c r="D93" s="18"/>
      <c r="E93" s="18"/>
      <c r="F93" s="18"/>
      <c r="G93" s="18"/>
      <c r="H93" s="18"/>
      <c r="I93" s="18"/>
      <c r="J93" s="18"/>
      <c r="K93" s="18"/>
      <c r="L93" s="18"/>
      <c r="M93" s="18"/>
      <c r="N93" s="18"/>
      <c r="O93" s="18"/>
      <c r="P93" s="3"/>
      <c r="Q93" s="18"/>
      <c r="R93" s="18"/>
      <c r="S93" s="18"/>
      <c r="T93" s="3"/>
      <c r="U93" s="3"/>
      <c r="V93" s="3"/>
    </row>
    <row r="94" spans="1:22" x14ac:dyDescent="0.25">
      <c r="A94" s="219"/>
      <c r="B94" s="3"/>
      <c r="C94" s="18"/>
      <c r="D94" s="18"/>
      <c r="E94" s="18"/>
      <c r="F94" s="18"/>
      <c r="G94" s="18"/>
      <c r="H94" s="18"/>
      <c r="I94" s="18"/>
      <c r="J94" s="18"/>
      <c r="K94" s="18"/>
      <c r="L94" s="18"/>
      <c r="M94" s="18"/>
      <c r="N94" s="18"/>
      <c r="O94" s="18"/>
      <c r="P94" s="3"/>
      <c r="Q94" s="18"/>
      <c r="R94" s="18"/>
      <c r="S94" s="18"/>
      <c r="T94" s="3"/>
      <c r="U94" s="3"/>
      <c r="V94" s="3"/>
    </row>
    <row r="95" spans="1:22" x14ac:dyDescent="0.25">
      <c r="A95" s="219"/>
      <c r="B95" s="3"/>
      <c r="C95" s="18"/>
      <c r="D95" s="18"/>
      <c r="E95" s="18"/>
      <c r="F95" s="18"/>
      <c r="G95" s="18"/>
      <c r="H95" s="18"/>
      <c r="I95" s="18"/>
      <c r="J95" s="18"/>
      <c r="K95" s="18"/>
      <c r="L95" s="18"/>
      <c r="M95" s="18"/>
      <c r="N95" s="18"/>
      <c r="O95" s="18"/>
      <c r="P95" s="3"/>
      <c r="Q95" s="18"/>
      <c r="R95" s="18"/>
      <c r="S95" s="18"/>
      <c r="T95" s="3"/>
      <c r="U95" s="3"/>
      <c r="V95" s="3"/>
    </row>
    <row r="96" spans="1:22" x14ac:dyDescent="0.25">
      <c r="A96" s="219"/>
      <c r="B96" s="3"/>
      <c r="C96" s="18"/>
      <c r="D96" s="18"/>
      <c r="E96" s="18"/>
      <c r="F96" s="18"/>
      <c r="G96" s="18"/>
      <c r="H96" s="18"/>
      <c r="I96" s="18"/>
      <c r="J96" s="18"/>
      <c r="K96" s="18"/>
      <c r="L96" s="18"/>
      <c r="M96" s="18"/>
      <c r="N96" s="18"/>
      <c r="O96" s="18"/>
      <c r="P96" s="3"/>
      <c r="Q96" s="18"/>
      <c r="R96" s="18"/>
      <c r="S96" s="18"/>
      <c r="T96" s="3"/>
      <c r="U96" s="3"/>
      <c r="V96" s="3"/>
    </row>
    <row r="97" spans="1:22" x14ac:dyDescent="0.25">
      <c r="A97" s="219"/>
      <c r="B97" s="3"/>
      <c r="C97" s="18"/>
      <c r="D97" s="18"/>
      <c r="E97" s="18"/>
      <c r="F97" s="18"/>
      <c r="G97" s="18"/>
      <c r="H97" s="18"/>
      <c r="I97" s="18"/>
      <c r="J97" s="18"/>
      <c r="K97" s="18"/>
      <c r="L97" s="18"/>
      <c r="M97" s="18"/>
      <c r="N97" s="18"/>
      <c r="O97" s="18"/>
      <c r="P97" s="3"/>
      <c r="Q97" s="18"/>
      <c r="R97" s="18"/>
      <c r="S97" s="18"/>
      <c r="T97" s="3"/>
      <c r="U97" s="3"/>
      <c r="V97" s="3"/>
    </row>
    <row r="98" spans="1:22" x14ac:dyDescent="0.25">
      <c r="A98" s="219"/>
      <c r="B98" s="3"/>
      <c r="C98" s="18"/>
      <c r="D98" s="18"/>
      <c r="E98" s="18"/>
      <c r="F98" s="18"/>
      <c r="G98" s="18"/>
      <c r="H98" s="18"/>
      <c r="I98" s="18"/>
      <c r="J98" s="18"/>
      <c r="K98" s="18"/>
      <c r="L98" s="18"/>
      <c r="M98" s="18"/>
      <c r="N98" s="18"/>
      <c r="O98" s="18"/>
      <c r="P98" s="3"/>
      <c r="Q98" s="18"/>
      <c r="R98" s="18"/>
      <c r="S98" s="18"/>
      <c r="T98" s="3"/>
      <c r="U98" s="3"/>
      <c r="V98" s="3"/>
    </row>
    <row r="99" spans="1:22" x14ac:dyDescent="0.25">
      <c r="A99" s="219"/>
      <c r="B99" s="3"/>
      <c r="C99" s="18"/>
      <c r="D99" s="18"/>
      <c r="E99" s="18"/>
      <c r="F99" s="18"/>
      <c r="G99" s="18"/>
      <c r="H99" s="18"/>
      <c r="I99" s="18"/>
      <c r="J99" s="18"/>
      <c r="K99" s="18"/>
      <c r="L99" s="18"/>
      <c r="M99" s="18"/>
      <c r="N99" s="18"/>
      <c r="O99" s="18"/>
      <c r="P99" s="3"/>
      <c r="Q99" s="18"/>
      <c r="R99" s="18"/>
      <c r="S99" s="18"/>
      <c r="T99" s="3"/>
      <c r="U99" s="3"/>
      <c r="V99" s="3"/>
    </row>
    <row r="100" spans="1:22" x14ac:dyDescent="0.25">
      <c r="A100" s="219"/>
      <c r="B100" s="3"/>
      <c r="C100" s="18"/>
      <c r="D100" s="18"/>
      <c r="E100" s="18"/>
      <c r="F100" s="18"/>
      <c r="G100" s="18"/>
      <c r="H100" s="18"/>
      <c r="I100" s="18"/>
      <c r="J100" s="18"/>
      <c r="K100" s="18"/>
      <c r="L100" s="18"/>
      <c r="M100" s="18"/>
      <c r="N100" s="18"/>
      <c r="O100" s="18"/>
      <c r="P100" s="3"/>
      <c r="Q100" s="18"/>
      <c r="R100" s="18"/>
      <c r="S100" s="18"/>
      <c r="T100" s="3"/>
      <c r="U100" s="3"/>
      <c r="V100" s="3"/>
    </row>
    <row r="101" spans="1:22" x14ac:dyDescent="0.25">
      <c r="A101" s="219"/>
      <c r="B101" s="3"/>
      <c r="C101" s="18"/>
      <c r="D101" s="18"/>
      <c r="E101" s="18"/>
      <c r="F101" s="18"/>
      <c r="G101" s="18"/>
      <c r="H101" s="18"/>
      <c r="I101" s="18"/>
      <c r="J101" s="18"/>
      <c r="K101" s="18"/>
      <c r="L101" s="18"/>
      <c r="M101" s="18"/>
      <c r="N101" s="18"/>
      <c r="O101" s="18"/>
      <c r="P101" s="3"/>
      <c r="Q101" s="18"/>
      <c r="R101" s="18"/>
      <c r="S101" s="18"/>
      <c r="T101" s="3"/>
      <c r="U101" s="3"/>
      <c r="V101" s="3"/>
    </row>
    <row r="102" spans="1:22" x14ac:dyDescent="0.25">
      <c r="A102" s="219"/>
      <c r="B102" s="3"/>
      <c r="C102" s="18"/>
      <c r="D102" s="18"/>
      <c r="E102" s="18"/>
      <c r="F102" s="18"/>
      <c r="G102" s="18"/>
      <c r="H102" s="18"/>
      <c r="I102" s="18"/>
      <c r="J102" s="18"/>
      <c r="K102" s="18"/>
      <c r="L102" s="18"/>
      <c r="M102" s="18"/>
      <c r="N102" s="18"/>
      <c r="O102" s="18"/>
      <c r="P102" s="3"/>
      <c r="Q102" s="18"/>
      <c r="R102" s="18"/>
      <c r="S102" s="18"/>
      <c r="T102" s="3"/>
      <c r="U102" s="3"/>
      <c r="V102" s="3"/>
    </row>
    <row r="103" spans="1:22" x14ac:dyDescent="0.25">
      <c r="A103" s="219"/>
      <c r="B103" s="3"/>
      <c r="C103" s="18"/>
      <c r="D103" s="18"/>
      <c r="E103" s="18"/>
      <c r="F103" s="18"/>
      <c r="G103" s="18"/>
      <c r="H103" s="18"/>
      <c r="I103" s="18"/>
      <c r="J103" s="18"/>
      <c r="K103" s="18"/>
      <c r="L103" s="18"/>
      <c r="M103" s="18"/>
      <c r="N103" s="18"/>
      <c r="O103" s="18"/>
      <c r="P103" s="3"/>
      <c r="Q103" s="18"/>
      <c r="R103" s="18"/>
      <c r="S103" s="18"/>
      <c r="T103" s="3"/>
      <c r="U103" s="3"/>
      <c r="V103" s="3"/>
    </row>
    <row r="104" spans="1:22" x14ac:dyDescent="0.25">
      <c r="A104" s="219"/>
      <c r="B104" s="3"/>
      <c r="C104" s="18"/>
      <c r="D104" s="18"/>
      <c r="E104" s="18"/>
      <c r="F104" s="18"/>
      <c r="G104" s="18"/>
      <c r="H104" s="18"/>
      <c r="I104" s="18"/>
      <c r="J104" s="18"/>
      <c r="K104" s="18"/>
      <c r="L104" s="18"/>
      <c r="M104" s="18"/>
      <c r="N104" s="18"/>
      <c r="O104" s="18"/>
      <c r="P104" s="3"/>
      <c r="Q104" s="18"/>
      <c r="R104" s="18"/>
      <c r="S104" s="18"/>
      <c r="T104" s="3"/>
      <c r="U104" s="3"/>
      <c r="V104" s="3"/>
    </row>
    <row r="105" spans="1:22" x14ac:dyDescent="0.25">
      <c r="A105" s="219"/>
      <c r="B105" s="3"/>
      <c r="C105" s="18"/>
      <c r="D105" s="18"/>
      <c r="E105" s="18"/>
      <c r="F105" s="18"/>
      <c r="G105" s="18"/>
      <c r="H105" s="18"/>
      <c r="I105" s="18"/>
      <c r="J105" s="18"/>
      <c r="K105" s="18"/>
      <c r="L105" s="18"/>
      <c r="M105" s="18"/>
      <c r="N105" s="18"/>
      <c r="O105" s="18"/>
      <c r="P105" s="3"/>
      <c r="Q105" s="18"/>
      <c r="R105" s="18"/>
      <c r="S105" s="18"/>
      <c r="T105" s="3"/>
      <c r="U105" s="3"/>
      <c r="V105" s="3"/>
    </row>
    <row r="106" spans="1:22" x14ac:dyDescent="0.25">
      <c r="C106" s="99"/>
      <c r="D106" s="99"/>
      <c r="E106" s="99"/>
      <c r="F106" s="99"/>
      <c r="G106" s="99"/>
      <c r="H106" s="99"/>
      <c r="I106" s="99"/>
      <c r="J106" s="99"/>
      <c r="K106" s="99"/>
      <c r="L106" s="99"/>
      <c r="M106" s="99"/>
      <c r="N106" s="99"/>
      <c r="O106" s="99"/>
    </row>
    <row r="107" spans="1:22" x14ac:dyDescent="0.25">
      <c r="C107" s="99"/>
      <c r="D107" s="99"/>
      <c r="E107" s="99"/>
      <c r="F107" s="99"/>
      <c r="G107" s="99"/>
      <c r="H107" s="99"/>
      <c r="I107" s="99"/>
      <c r="J107" s="99"/>
      <c r="K107" s="99"/>
      <c r="L107" s="99"/>
      <c r="M107" s="99"/>
      <c r="N107" s="99"/>
      <c r="O107" s="99"/>
    </row>
    <row r="108" spans="1:22" x14ac:dyDescent="0.25">
      <c r="C108" s="99"/>
      <c r="D108" s="99"/>
      <c r="E108" s="99"/>
      <c r="F108" s="99"/>
      <c r="G108" s="99"/>
      <c r="H108" s="99"/>
      <c r="I108" s="99"/>
      <c r="J108" s="99"/>
      <c r="K108" s="99"/>
      <c r="L108" s="99"/>
      <c r="M108" s="99"/>
      <c r="N108" s="99"/>
      <c r="O108" s="99"/>
    </row>
    <row r="109" spans="1:22" x14ac:dyDescent="0.25">
      <c r="C109" s="99"/>
      <c r="D109" s="99"/>
      <c r="E109" s="99"/>
      <c r="F109" s="99"/>
      <c r="G109" s="99"/>
      <c r="H109" s="99"/>
      <c r="I109" s="99"/>
      <c r="J109" s="99"/>
      <c r="K109" s="99"/>
      <c r="L109" s="99"/>
      <c r="M109" s="99"/>
      <c r="N109" s="99"/>
      <c r="O109" s="99"/>
    </row>
    <row r="110" spans="1:22" x14ac:dyDescent="0.25">
      <c r="C110" s="99"/>
      <c r="D110" s="99"/>
      <c r="E110" s="99"/>
      <c r="F110" s="99"/>
      <c r="G110" s="99"/>
      <c r="H110" s="99"/>
      <c r="I110" s="99"/>
      <c r="J110" s="99"/>
      <c r="K110" s="99"/>
      <c r="L110" s="99"/>
      <c r="M110" s="99"/>
      <c r="N110" s="99"/>
      <c r="O110" s="99"/>
    </row>
    <row r="111" spans="1:22" x14ac:dyDescent="0.25">
      <c r="C111" s="99"/>
      <c r="D111" s="99"/>
      <c r="E111" s="99"/>
      <c r="F111" s="99"/>
      <c r="G111" s="99"/>
      <c r="H111" s="99"/>
      <c r="I111" s="99"/>
      <c r="J111" s="99"/>
      <c r="K111" s="99"/>
      <c r="L111" s="99"/>
      <c r="M111" s="99"/>
      <c r="N111" s="99"/>
      <c r="O111" s="99"/>
    </row>
    <row r="112" spans="1:22" x14ac:dyDescent="0.25">
      <c r="C112" s="99"/>
      <c r="D112" s="99"/>
      <c r="E112" s="99"/>
      <c r="F112" s="99"/>
      <c r="G112" s="99"/>
      <c r="H112" s="99"/>
      <c r="I112" s="99"/>
      <c r="J112" s="99"/>
      <c r="K112" s="99"/>
      <c r="L112" s="99"/>
      <c r="M112" s="99"/>
      <c r="N112" s="99"/>
      <c r="O112" s="99"/>
    </row>
    <row r="113" spans="3:3" x14ac:dyDescent="0.25">
      <c r="C113" s="99"/>
    </row>
    <row r="114" spans="3:3" x14ac:dyDescent="0.25">
      <c r="C114" s="99"/>
    </row>
    <row r="115" spans="3:3" x14ac:dyDescent="0.25">
      <c r="C115" s="99"/>
    </row>
    <row r="116" spans="3:3" x14ac:dyDescent="0.25">
      <c r="C116" s="99"/>
    </row>
    <row r="117" spans="3:3" x14ac:dyDescent="0.25">
      <c r="C117" s="99"/>
    </row>
    <row r="118" spans="3:3" x14ac:dyDescent="0.25">
      <c r="C118" s="99"/>
    </row>
    <row r="119" spans="3:3" x14ac:dyDescent="0.25">
      <c r="C119" s="99"/>
    </row>
    <row r="120" spans="3:3" x14ac:dyDescent="0.25">
      <c r="C120" s="99"/>
    </row>
    <row r="121" spans="3:3" x14ac:dyDescent="0.25">
      <c r="C121" s="99"/>
    </row>
    <row r="122" spans="3:3" x14ac:dyDescent="0.25">
      <c r="C122" s="99"/>
    </row>
    <row r="123" spans="3:3" x14ac:dyDescent="0.25">
      <c r="C123" s="99"/>
    </row>
    <row r="124" spans="3:3" x14ac:dyDescent="0.25">
      <c r="C124" s="99"/>
    </row>
    <row r="125" spans="3:3" x14ac:dyDescent="0.25">
      <c r="C125" s="99"/>
    </row>
    <row r="126" spans="3:3" x14ac:dyDescent="0.25">
      <c r="C126" s="99"/>
    </row>
    <row r="127" spans="3:3" x14ac:dyDescent="0.25">
      <c r="C127" s="99"/>
    </row>
    <row r="128" spans="3:3" x14ac:dyDescent="0.25">
      <c r="C128" s="99"/>
    </row>
    <row r="129" spans="3:3" x14ac:dyDescent="0.25">
      <c r="C129" s="99"/>
    </row>
    <row r="130" spans="3:3" x14ac:dyDescent="0.25">
      <c r="C130" s="99"/>
    </row>
    <row r="131" spans="3:3" x14ac:dyDescent="0.25">
      <c r="C131" s="99"/>
    </row>
    <row r="132" spans="3:3" x14ac:dyDescent="0.25">
      <c r="C132" s="99"/>
    </row>
    <row r="133" spans="3:3" x14ac:dyDescent="0.25">
      <c r="C133" s="99"/>
    </row>
    <row r="134" spans="3:3" x14ac:dyDescent="0.25">
      <c r="C134" s="99"/>
    </row>
    <row r="135" spans="3:3" x14ac:dyDescent="0.25">
      <c r="C135" s="99"/>
    </row>
    <row r="136" spans="3:3" x14ac:dyDescent="0.25">
      <c r="C136" s="99"/>
    </row>
    <row r="137" spans="3:3" x14ac:dyDescent="0.25">
      <c r="C137" s="99"/>
    </row>
    <row r="138" spans="3:3" x14ac:dyDescent="0.25">
      <c r="C138" s="99"/>
    </row>
    <row r="139" spans="3:3" x14ac:dyDescent="0.25">
      <c r="C139" s="99"/>
    </row>
    <row r="140" spans="3:3" x14ac:dyDescent="0.25">
      <c r="C140" s="99"/>
    </row>
    <row r="141" spans="3:3" x14ac:dyDescent="0.25">
      <c r="C141" s="99"/>
    </row>
    <row r="142" spans="3:3" x14ac:dyDescent="0.25">
      <c r="C142" s="99"/>
    </row>
    <row r="143" spans="3:3" x14ac:dyDescent="0.25">
      <c r="C143" s="99"/>
    </row>
    <row r="144" spans="3:3" x14ac:dyDescent="0.25">
      <c r="C144" s="99"/>
    </row>
    <row r="145" spans="3:3" x14ac:dyDescent="0.25">
      <c r="C145" s="99"/>
    </row>
    <row r="146" spans="3:3" x14ac:dyDescent="0.25">
      <c r="C146" s="99"/>
    </row>
    <row r="147" spans="3:3" x14ac:dyDescent="0.25">
      <c r="C147" s="99"/>
    </row>
    <row r="148" spans="3:3" x14ac:dyDescent="0.25">
      <c r="C148" s="99"/>
    </row>
    <row r="149" spans="3:3" x14ac:dyDescent="0.25">
      <c r="C149" s="99"/>
    </row>
    <row r="150" spans="3:3" x14ac:dyDescent="0.25">
      <c r="C150" s="99"/>
    </row>
    <row r="151" spans="3:3" x14ac:dyDescent="0.25">
      <c r="C151" s="99"/>
    </row>
    <row r="152" spans="3:3" x14ac:dyDescent="0.25">
      <c r="C152" s="99"/>
    </row>
    <row r="153" spans="3:3" x14ac:dyDescent="0.25">
      <c r="C153" s="99"/>
    </row>
    <row r="154" spans="3:3" x14ac:dyDescent="0.25">
      <c r="C154" s="99"/>
    </row>
    <row r="155" spans="3:3" x14ac:dyDescent="0.25">
      <c r="C155" s="99"/>
    </row>
    <row r="156" spans="3:3" x14ac:dyDescent="0.25">
      <c r="C156" s="99"/>
    </row>
    <row r="157" spans="3:3" x14ac:dyDescent="0.25">
      <c r="C157" s="99"/>
    </row>
    <row r="158" spans="3:3" x14ac:dyDescent="0.25">
      <c r="C158" s="99"/>
    </row>
    <row r="159" spans="3:3" x14ac:dyDescent="0.25">
      <c r="C159" s="99"/>
    </row>
    <row r="160" spans="3:3" x14ac:dyDescent="0.25">
      <c r="C160" s="99"/>
    </row>
    <row r="161" spans="3:3" x14ac:dyDescent="0.25">
      <c r="C161" s="99"/>
    </row>
    <row r="162" spans="3:3" x14ac:dyDescent="0.25">
      <c r="C162" s="99"/>
    </row>
    <row r="163" spans="3:3" x14ac:dyDescent="0.25">
      <c r="C163" s="99"/>
    </row>
    <row r="164" spans="3:3" x14ac:dyDescent="0.25">
      <c r="C164" s="99"/>
    </row>
  </sheetData>
  <phoneticPr fontId="0" type="noConversion"/>
  <hyperlinks>
    <hyperlink ref="A1" location="'420 DPW'!A1" display="Main 440" xr:uid="{00000000-0004-0000-2300-000000000000}"/>
    <hyperlink ref="B1" location="'Table of Contents'!A1" display="TOC" xr:uid="{00000000-0004-0000-2300-000001000000}"/>
  </hyperlinks>
  <pageMargins left="0.75" right="0.75" top="1" bottom="1" header="0.5" footer="0.5"/>
  <pageSetup scale="92" fitToHeight="2" orientation="landscape" r:id="rId1"/>
  <headerFooter alignWithMargins="0">
    <oddFooter>&amp;L&amp;D&amp;T&amp;C&amp;F&amp;R&amp;A</oddFooter>
  </headerFooter>
  <rowBreaks count="1" manualBreakCount="1">
    <brk id="2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pageSetUpPr fitToPage="1"/>
  </sheetPr>
  <dimension ref="A1:W180"/>
  <sheetViews>
    <sheetView workbookViewId="0">
      <pane ySplit="7" topLeftCell="A8" activePane="bottomLeft" state="frozen"/>
      <selection activeCell="P15" sqref="P15"/>
      <selection pane="bottomLeft" activeCell="Q10" sqref="Q10"/>
    </sheetView>
  </sheetViews>
  <sheetFormatPr defaultRowHeight="13.2" x14ac:dyDescent="0.25"/>
  <cols>
    <col min="1" max="1" width="12" style="228" bestFit="1" customWidth="1"/>
    <col min="2" max="2" width="36.6640625" customWidth="1"/>
    <col min="3" max="3" width="14.44140625" style="1" hidden="1" customWidth="1"/>
    <col min="4" max="9" width="14.44140625" style="67" hidden="1" customWidth="1"/>
    <col min="10" max="10" width="17.44140625" style="67" hidden="1" customWidth="1"/>
    <col min="11" max="12" width="14.44140625" style="67" hidden="1" customWidth="1"/>
    <col min="13" max="15" width="14.44140625" style="67" customWidth="1"/>
    <col min="16" max="16" width="14.44140625" customWidth="1"/>
    <col min="17" max="19" width="14.44140625" style="1" customWidth="1"/>
    <col min="20" max="22" width="14.44140625" customWidth="1"/>
    <col min="23" max="23" width="14.6640625" style="2" customWidth="1"/>
  </cols>
  <sheetData>
    <row r="1" spans="1:22" x14ac:dyDescent="0.25">
      <c r="A1" s="217" t="s">
        <v>193</v>
      </c>
      <c r="B1" s="132" t="s">
        <v>2</v>
      </c>
      <c r="D1" s="99"/>
      <c r="E1" s="99"/>
      <c r="F1" s="99"/>
      <c r="G1" s="99"/>
      <c r="H1" s="99"/>
      <c r="I1" s="99"/>
      <c r="J1" s="99"/>
      <c r="K1" s="99"/>
      <c r="L1" s="99"/>
      <c r="M1" s="99"/>
      <c r="N1" s="99"/>
      <c r="O1" s="99"/>
    </row>
    <row r="2" spans="1:22" ht="13.8" x14ac:dyDescent="0.25">
      <c r="A2" s="218" t="s">
        <v>136</v>
      </c>
      <c r="B2" s="35"/>
      <c r="C2" s="78" t="s">
        <v>22</v>
      </c>
      <c r="D2" s="99"/>
      <c r="E2" s="78"/>
      <c r="F2" s="99"/>
      <c r="G2" s="99"/>
      <c r="H2" s="99"/>
      <c r="I2" s="78" t="s">
        <v>200</v>
      </c>
      <c r="J2" s="78"/>
      <c r="K2" s="78"/>
      <c r="L2" s="78"/>
      <c r="M2" s="78"/>
      <c r="N2" s="78"/>
      <c r="O2" s="78"/>
      <c r="P2" s="1"/>
      <c r="S2" s="36" t="s">
        <v>201</v>
      </c>
    </row>
    <row r="3" spans="1:22" ht="13.8" thickBot="1" x14ac:dyDescent="0.3">
      <c r="A3" s="219"/>
      <c r="B3" s="3"/>
      <c r="C3" s="18"/>
      <c r="D3" s="18"/>
      <c r="E3" s="18"/>
      <c r="F3" s="18"/>
      <c r="G3" s="18"/>
      <c r="H3" s="18"/>
      <c r="I3" s="18"/>
      <c r="J3" s="18"/>
      <c r="K3" s="18"/>
      <c r="L3" s="18"/>
      <c r="M3" s="18"/>
      <c r="N3" s="18"/>
      <c r="O3" s="18"/>
      <c r="P3" s="3"/>
      <c r="Q3" s="18"/>
      <c r="R3" s="18"/>
      <c r="S3" s="3"/>
      <c r="V3" s="3"/>
    </row>
    <row r="4" spans="1:22" ht="13.8" thickTop="1" x14ac:dyDescent="0.25">
      <c r="A4" s="220"/>
      <c r="B4" s="187"/>
      <c r="C4" s="71" t="s">
        <v>13</v>
      </c>
      <c r="D4" s="106" t="s">
        <v>13</v>
      </c>
      <c r="E4" s="106" t="s">
        <v>13</v>
      </c>
      <c r="F4" s="106" t="s">
        <v>13</v>
      </c>
      <c r="G4" s="106" t="s">
        <v>13</v>
      </c>
      <c r="H4" s="65" t="s">
        <v>13</v>
      </c>
      <c r="I4" s="111" t="s">
        <v>13</v>
      </c>
      <c r="J4" s="111" t="s">
        <v>13</v>
      </c>
      <c r="K4" s="111" t="s">
        <v>12</v>
      </c>
      <c r="L4" s="111" t="s">
        <v>13</v>
      </c>
      <c r="M4" s="111" t="s">
        <v>12</v>
      </c>
      <c r="N4" s="111" t="s">
        <v>13</v>
      </c>
      <c r="O4" s="111" t="s">
        <v>12</v>
      </c>
      <c r="P4" s="65" t="s">
        <v>23</v>
      </c>
      <c r="Q4" s="52" t="s">
        <v>18</v>
      </c>
      <c r="R4" s="52" t="s">
        <v>18</v>
      </c>
      <c r="S4" s="4" t="s">
        <v>18</v>
      </c>
    </row>
    <row r="5" spans="1:22" x14ac:dyDescent="0.25">
      <c r="A5" s="221"/>
      <c r="B5" s="96"/>
      <c r="C5" s="70"/>
      <c r="D5" s="54"/>
      <c r="E5" s="66"/>
      <c r="F5" s="54"/>
      <c r="G5" s="54"/>
      <c r="H5" s="66"/>
      <c r="I5" s="112"/>
      <c r="J5" s="112"/>
      <c r="K5" s="112"/>
      <c r="L5" s="112"/>
      <c r="M5" s="112"/>
      <c r="N5" s="112"/>
      <c r="O5" s="112"/>
      <c r="P5" s="66" t="s">
        <v>24</v>
      </c>
      <c r="Q5" s="55" t="s">
        <v>25</v>
      </c>
      <c r="R5" s="55" t="s">
        <v>26</v>
      </c>
      <c r="S5" s="93" t="s">
        <v>27</v>
      </c>
    </row>
    <row r="6" spans="1:22" x14ac:dyDescent="0.25">
      <c r="A6" s="221"/>
      <c r="B6" s="96"/>
      <c r="C6" s="70"/>
      <c r="D6" s="70"/>
      <c r="E6" s="70"/>
      <c r="F6" s="70"/>
      <c r="G6" s="70"/>
      <c r="H6" s="70"/>
      <c r="I6" s="55"/>
      <c r="J6" s="55"/>
      <c r="K6" s="55"/>
      <c r="L6" s="55"/>
      <c r="M6" s="55"/>
      <c r="N6" s="55"/>
      <c r="O6" s="55"/>
      <c r="P6" s="70"/>
      <c r="Q6" s="55" t="s">
        <v>28</v>
      </c>
      <c r="R6" s="55" t="s">
        <v>19</v>
      </c>
      <c r="S6" s="37" t="s">
        <v>29</v>
      </c>
    </row>
    <row r="7" spans="1:22" ht="13.8" thickBot="1" x14ac:dyDescent="0.3">
      <c r="A7" s="222" t="s">
        <v>30</v>
      </c>
      <c r="B7" s="51"/>
      <c r="C7" s="115" t="s">
        <v>4</v>
      </c>
      <c r="D7" s="115" t="s">
        <v>5</v>
      </c>
      <c r="E7" s="5" t="s">
        <v>6</v>
      </c>
      <c r="F7" s="5" t="s">
        <v>15</v>
      </c>
      <c r="G7" s="5" t="s">
        <v>16</v>
      </c>
      <c r="H7" s="5" t="s">
        <v>7</v>
      </c>
      <c r="I7" s="5" t="s">
        <v>8</v>
      </c>
      <c r="J7" s="5" t="s">
        <v>17</v>
      </c>
      <c r="K7" s="5" t="s">
        <v>9</v>
      </c>
      <c r="L7" s="5" t="s">
        <v>9</v>
      </c>
      <c r="M7" s="5" t="s">
        <v>10</v>
      </c>
      <c r="N7" s="5" t="s">
        <v>10</v>
      </c>
      <c r="O7" s="5" t="s">
        <v>11</v>
      </c>
      <c r="P7" s="76">
        <v>44926</v>
      </c>
      <c r="Q7" s="5" t="s">
        <v>31</v>
      </c>
      <c r="R7" s="5"/>
      <c r="S7" s="5" t="s">
        <v>19</v>
      </c>
    </row>
    <row r="8" spans="1:22" ht="13.8" thickTop="1" x14ac:dyDescent="0.25">
      <c r="A8" s="223"/>
      <c r="B8" s="90"/>
      <c r="C8" s="72"/>
      <c r="D8" s="117"/>
      <c r="E8" s="117"/>
      <c r="F8" s="117"/>
      <c r="G8" s="117"/>
      <c r="H8" s="117"/>
      <c r="I8" s="117"/>
      <c r="J8" s="117"/>
      <c r="K8" s="85"/>
      <c r="L8" s="85"/>
      <c r="M8" s="85"/>
      <c r="N8" s="85"/>
      <c r="O8" s="85"/>
      <c r="P8" s="41"/>
      <c r="Q8" s="6"/>
      <c r="R8" s="6"/>
      <c r="S8" s="6"/>
    </row>
    <row r="9" spans="1:22" x14ac:dyDescent="0.25">
      <c r="A9" s="224">
        <v>5112</v>
      </c>
      <c r="B9" s="42" t="s">
        <v>196</v>
      </c>
      <c r="C9" s="138">
        <v>544527.98</v>
      </c>
      <c r="D9" s="8">
        <f>165.7+562801.37+6191.59</f>
        <v>569158.65999999992</v>
      </c>
      <c r="E9" s="79">
        <v>540718.27</v>
      </c>
      <c r="F9" s="79">
        <v>563154.73</v>
      </c>
      <c r="G9" s="79">
        <v>552355.14</v>
      </c>
      <c r="H9" s="79">
        <v>574134.86</v>
      </c>
      <c r="I9" s="8">
        <v>575220.31999999995</v>
      </c>
      <c r="J9" s="8">
        <v>614836.76</v>
      </c>
      <c r="K9" s="9">
        <v>653676</v>
      </c>
      <c r="L9" s="8">
        <v>624063.51</v>
      </c>
      <c r="M9" s="9">
        <v>671995</v>
      </c>
      <c r="N9" s="8">
        <v>640631.53</v>
      </c>
      <c r="O9" s="9">
        <f>5213+2918+685516</f>
        <v>693647</v>
      </c>
      <c r="P9" s="8">
        <v>337569.53</v>
      </c>
      <c r="Q9" s="206">
        <f>ROUND((SUM('420 DPW'!P69:P90)-'192 Public Bldgs'!Q9-'652 Parks'!Q9-'433 Solid Waste'!Q10),0)</f>
        <v>770206</v>
      </c>
      <c r="R9" s="9"/>
      <c r="S9" s="9"/>
    </row>
    <row r="10" spans="1:22" x14ac:dyDescent="0.25">
      <c r="A10" s="224">
        <v>5132</v>
      </c>
      <c r="B10" s="42" t="s">
        <v>141</v>
      </c>
      <c r="C10" s="138">
        <f>232.1+5303.32</f>
        <v>5535.42</v>
      </c>
      <c r="D10" s="8">
        <f>136.61+5676.65</f>
        <v>5813.2599999999993</v>
      </c>
      <c r="E10" s="79">
        <v>4186.1000000000004</v>
      </c>
      <c r="F10" s="79">
        <v>3549.91</v>
      </c>
      <c r="G10" s="79">
        <v>5071.6400000000003</v>
      </c>
      <c r="H10" s="79">
        <v>3526.98</v>
      </c>
      <c r="I10" s="8">
        <v>8376.17</v>
      </c>
      <c r="J10" s="8">
        <v>8075.79</v>
      </c>
      <c r="K10" s="9">
        <v>9000</v>
      </c>
      <c r="L10" s="8">
        <v>15259.18</v>
      </c>
      <c r="M10" s="9">
        <v>12000</v>
      </c>
      <c r="N10" s="8">
        <v>19688.22</v>
      </c>
      <c r="O10" s="9">
        <v>12250</v>
      </c>
      <c r="P10" s="8">
        <v>8270.1200000000008</v>
      </c>
      <c r="Q10" s="9">
        <v>15000</v>
      </c>
      <c r="R10" s="9"/>
      <c r="S10" s="9"/>
    </row>
    <row r="11" spans="1:22" x14ac:dyDescent="0.25">
      <c r="A11" s="224">
        <v>5142</v>
      </c>
      <c r="B11" s="42" t="s">
        <v>202</v>
      </c>
      <c r="C11" s="200">
        <v>5672.24</v>
      </c>
      <c r="D11" s="27">
        <f>19.09+5997.6</f>
        <v>6016.6900000000005</v>
      </c>
      <c r="E11" s="100">
        <v>6103.83</v>
      </c>
      <c r="F11" s="100">
        <v>6067.31</v>
      </c>
      <c r="G11" s="100">
        <v>7744.66</v>
      </c>
      <c r="H11" s="100">
        <v>10630.82</v>
      </c>
      <c r="I11" s="27">
        <v>11076.36</v>
      </c>
      <c r="J11" s="27">
        <v>13959.15</v>
      </c>
      <c r="K11" s="28">
        <v>15000</v>
      </c>
      <c r="L11" s="27">
        <v>13998.01</v>
      </c>
      <c r="M11" s="28">
        <v>18000</v>
      </c>
      <c r="N11" s="27">
        <v>14132.03</v>
      </c>
      <c r="O11" s="28">
        <f>845+2470+17000</f>
        <v>20315</v>
      </c>
      <c r="P11" s="27">
        <v>10578.25</v>
      </c>
      <c r="Q11" s="28">
        <v>16800</v>
      </c>
      <c r="R11" s="28"/>
      <c r="S11" s="28"/>
    </row>
    <row r="12" spans="1:22" x14ac:dyDescent="0.25">
      <c r="A12" s="224">
        <v>5144</v>
      </c>
      <c r="B12" s="42" t="s">
        <v>0</v>
      </c>
      <c r="C12" s="138">
        <v>2600</v>
      </c>
      <c r="D12" s="8">
        <v>3750</v>
      </c>
      <c r="E12" s="79">
        <v>3000</v>
      </c>
      <c r="F12" s="79">
        <v>2200</v>
      </c>
      <c r="G12" s="79">
        <v>4140</v>
      </c>
      <c r="H12" s="79">
        <v>3620</v>
      </c>
      <c r="I12" s="8">
        <v>3640</v>
      </c>
      <c r="J12" s="8">
        <v>3400</v>
      </c>
      <c r="K12" s="9">
        <v>3000</v>
      </c>
      <c r="L12" s="8">
        <v>2000</v>
      </c>
      <c r="M12" s="9">
        <v>3600</v>
      </c>
      <c r="N12" s="8">
        <v>1700</v>
      </c>
      <c r="O12" s="9">
        <f>1100+1000</f>
        <v>2100</v>
      </c>
      <c r="P12" s="8">
        <v>600</v>
      </c>
      <c r="Q12" s="9">
        <v>3700</v>
      </c>
      <c r="R12" s="9"/>
      <c r="S12" s="9"/>
    </row>
    <row r="13" spans="1:22" x14ac:dyDescent="0.25">
      <c r="A13" s="224">
        <v>5145</v>
      </c>
      <c r="B13" s="42" t="s">
        <v>128</v>
      </c>
      <c r="C13" s="138">
        <v>600.08000000000004</v>
      </c>
      <c r="D13" s="8">
        <v>842.42</v>
      </c>
      <c r="E13" s="79">
        <v>1200.1600000000001</v>
      </c>
      <c r="F13" s="79">
        <v>1223.24</v>
      </c>
      <c r="G13" s="79">
        <v>1119.3800000000001</v>
      </c>
      <c r="H13" s="79">
        <v>946.28</v>
      </c>
      <c r="I13" s="8">
        <v>1488.66</v>
      </c>
      <c r="J13" s="8">
        <v>1500.2</v>
      </c>
      <c r="K13" s="9">
        <v>1525</v>
      </c>
      <c r="L13" s="8">
        <v>1529.05</v>
      </c>
      <c r="M13" s="9">
        <v>1525</v>
      </c>
      <c r="N13" s="8">
        <v>1217.47</v>
      </c>
      <c r="O13" s="9">
        <v>1525</v>
      </c>
      <c r="P13" s="8">
        <v>375.05</v>
      </c>
      <c r="Q13" s="9">
        <v>1525</v>
      </c>
      <c r="R13" s="9"/>
      <c r="S13" s="9"/>
    </row>
    <row r="14" spans="1:22" x14ac:dyDescent="0.25">
      <c r="A14" s="224">
        <v>5193</v>
      </c>
      <c r="B14" s="42" t="s">
        <v>59</v>
      </c>
      <c r="C14" s="138"/>
      <c r="D14" s="8"/>
      <c r="E14" s="79">
        <v>9799.56</v>
      </c>
      <c r="F14" s="79"/>
      <c r="G14" s="79">
        <v>2150.5</v>
      </c>
      <c r="H14" s="79">
        <v>4111.34</v>
      </c>
      <c r="I14" s="8">
        <v>8358</v>
      </c>
      <c r="J14" s="8">
        <v>5172.6400000000003</v>
      </c>
      <c r="K14" s="9"/>
      <c r="L14" s="8">
        <v>1303.8</v>
      </c>
      <c r="M14" s="9">
        <v>11292</v>
      </c>
      <c r="N14" s="8">
        <v>21174.18</v>
      </c>
      <c r="O14" s="9">
        <v>0</v>
      </c>
      <c r="P14" s="8">
        <v>854.8</v>
      </c>
      <c r="Q14" s="9">
        <v>0</v>
      </c>
      <c r="R14" s="9"/>
      <c r="S14" s="9"/>
    </row>
    <row r="15" spans="1:22" ht="13.8" thickBot="1" x14ac:dyDescent="0.3">
      <c r="A15" s="224">
        <v>5194</v>
      </c>
      <c r="B15" s="42" t="s">
        <v>60</v>
      </c>
      <c r="C15" s="203"/>
      <c r="D15" s="29"/>
      <c r="E15" s="120">
        <v>5134.3</v>
      </c>
      <c r="F15" s="120"/>
      <c r="G15" s="120">
        <v>1553.75</v>
      </c>
      <c r="H15" s="120">
        <v>7000</v>
      </c>
      <c r="I15" s="29">
        <v>3500</v>
      </c>
      <c r="J15" s="29">
        <v>709.2</v>
      </c>
      <c r="K15" s="30"/>
      <c r="L15" s="29"/>
      <c r="M15" s="30">
        <v>4200</v>
      </c>
      <c r="N15" s="29">
        <v>4791.7299999999996</v>
      </c>
      <c r="O15" s="30">
        <v>0</v>
      </c>
      <c r="P15" s="29"/>
      <c r="Q15" s="30">
        <v>0</v>
      </c>
      <c r="R15" s="30"/>
      <c r="S15" s="30"/>
    </row>
    <row r="16" spans="1:22" x14ac:dyDescent="0.25">
      <c r="A16" s="224"/>
      <c r="B16" s="43" t="s">
        <v>32</v>
      </c>
      <c r="C16" s="139">
        <f t="shared" ref="C16:S16" si="0">SUM(C9:C15)</f>
        <v>558935.72</v>
      </c>
      <c r="D16" s="13">
        <f t="shared" si="0"/>
        <v>585581.02999999991</v>
      </c>
      <c r="E16" s="13">
        <f t="shared" si="0"/>
        <v>570142.22000000009</v>
      </c>
      <c r="F16" s="13">
        <f t="shared" ref="F16:N16" si="1">SUM(F9:F15)</f>
        <v>576195.19000000006</v>
      </c>
      <c r="G16" s="13">
        <f t="shared" si="1"/>
        <v>574135.07000000007</v>
      </c>
      <c r="H16" s="13">
        <f t="shared" si="1"/>
        <v>603970.27999999991</v>
      </c>
      <c r="I16" s="13">
        <f t="shared" si="1"/>
        <v>611659.51</v>
      </c>
      <c r="J16" s="13">
        <f t="shared" si="1"/>
        <v>647653.74</v>
      </c>
      <c r="K16" s="26">
        <f t="shared" si="1"/>
        <v>682201</v>
      </c>
      <c r="L16" s="13">
        <f t="shared" si="1"/>
        <v>658153.55000000016</v>
      </c>
      <c r="M16" s="26">
        <f>SUM(M9:M15)</f>
        <v>722612</v>
      </c>
      <c r="N16" s="13">
        <f t="shared" si="1"/>
        <v>703335.16</v>
      </c>
      <c r="O16" s="26">
        <f>SUM(O9:O15)</f>
        <v>729837</v>
      </c>
      <c r="P16" s="13">
        <f t="shared" si="0"/>
        <v>358247.75</v>
      </c>
      <c r="Q16" s="26">
        <f>SUM(Q9:Q15)</f>
        <v>807231</v>
      </c>
      <c r="R16" s="26">
        <f>SUM(R9:R15)</f>
        <v>0</v>
      </c>
      <c r="S16" s="26">
        <f t="shared" si="0"/>
        <v>0</v>
      </c>
    </row>
    <row r="17" spans="1:19" x14ac:dyDescent="0.25">
      <c r="A17" s="224"/>
      <c r="B17" s="42"/>
      <c r="C17" s="138"/>
      <c r="D17" s="8"/>
      <c r="E17" s="8"/>
      <c r="F17" s="8"/>
      <c r="G17" s="8"/>
      <c r="H17" s="8"/>
      <c r="I17" s="8"/>
      <c r="J17" s="8"/>
      <c r="K17" s="9"/>
      <c r="L17" s="8"/>
      <c r="M17" s="9"/>
      <c r="N17" s="8"/>
      <c r="O17" s="9"/>
      <c r="P17" s="8"/>
      <c r="Q17" s="9"/>
      <c r="R17" s="9"/>
      <c r="S17" s="9"/>
    </row>
    <row r="18" spans="1:19" x14ac:dyDescent="0.25">
      <c r="A18" s="224">
        <v>5242</v>
      </c>
      <c r="B18" s="42" t="s">
        <v>143</v>
      </c>
      <c r="C18" s="138"/>
      <c r="D18" s="13">
        <v>1665</v>
      </c>
      <c r="E18" s="69">
        <v>687.54</v>
      </c>
      <c r="F18" s="69">
        <v>402.95</v>
      </c>
      <c r="G18" s="69">
        <v>4779.55</v>
      </c>
      <c r="H18" s="69">
        <v>537.5</v>
      </c>
      <c r="I18" s="69">
        <v>1744.45</v>
      </c>
      <c r="J18" s="69">
        <v>127.2</v>
      </c>
      <c r="K18" s="14">
        <v>3500</v>
      </c>
      <c r="L18" s="69">
        <v>7138.77</v>
      </c>
      <c r="M18" s="14">
        <v>3500</v>
      </c>
      <c r="N18" s="69">
        <v>5505.9</v>
      </c>
      <c r="O18" s="14">
        <v>7100</v>
      </c>
      <c r="P18" s="13">
        <v>120</v>
      </c>
      <c r="Q18" s="14">
        <v>7100</v>
      </c>
      <c r="R18" s="14"/>
      <c r="S18" s="14"/>
    </row>
    <row r="19" spans="1:19" x14ac:dyDescent="0.25">
      <c r="A19" s="224">
        <v>5245</v>
      </c>
      <c r="B19" s="7" t="s">
        <v>145</v>
      </c>
      <c r="C19" s="79">
        <v>15640.85</v>
      </c>
      <c r="D19" s="13">
        <v>20923.13</v>
      </c>
      <c r="E19" s="69">
        <v>22296.94</v>
      </c>
      <c r="F19" s="69">
        <v>34754.76</v>
      </c>
      <c r="G19" s="69">
        <v>23394.59</v>
      </c>
      <c r="H19" s="69">
        <v>24713.51</v>
      </c>
      <c r="I19" s="69">
        <v>17661.330000000002</v>
      </c>
      <c r="J19" s="69">
        <v>27018.75</v>
      </c>
      <c r="K19" s="14">
        <v>30000</v>
      </c>
      <c r="L19" s="69">
        <v>28032.21</v>
      </c>
      <c r="M19" s="14">
        <v>35000</v>
      </c>
      <c r="N19" s="69">
        <v>20669.34</v>
      </c>
      <c r="O19" s="14">
        <v>35000</v>
      </c>
      <c r="P19" s="13">
        <v>4538.92</v>
      </c>
      <c r="Q19" s="14">
        <v>35000</v>
      </c>
      <c r="R19" s="14"/>
      <c r="S19" s="14"/>
    </row>
    <row r="20" spans="1:19" x14ac:dyDescent="0.25">
      <c r="A20" s="224">
        <v>5248</v>
      </c>
      <c r="B20" s="7" t="s">
        <v>203</v>
      </c>
      <c r="C20" s="79"/>
      <c r="D20" s="13">
        <v>0</v>
      </c>
      <c r="E20" s="69">
        <v>503.29</v>
      </c>
      <c r="F20" s="69">
        <v>88</v>
      </c>
      <c r="G20" s="69"/>
      <c r="H20" s="69">
        <v>264</v>
      </c>
      <c r="I20" s="69">
        <v>0</v>
      </c>
      <c r="J20" s="69">
        <v>88</v>
      </c>
      <c r="K20" s="14">
        <v>4200</v>
      </c>
      <c r="L20" s="69"/>
      <c r="M20" s="14">
        <v>4200</v>
      </c>
      <c r="N20" s="69">
        <v>608.99</v>
      </c>
      <c r="O20" s="14">
        <v>2000</v>
      </c>
      <c r="P20" s="13"/>
      <c r="Q20" s="14">
        <v>2000</v>
      </c>
      <c r="R20" s="14"/>
      <c r="S20" s="14"/>
    </row>
    <row r="21" spans="1:19" x14ac:dyDescent="0.25">
      <c r="A21" s="224">
        <v>5251</v>
      </c>
      <c r="B21" s="7" t="s">
        <v>147</v>
      </c>
      <c r="C21" s="116">
        <v>2288.5700000000002</v>
      </c>
      <c r="D21" s="13">
        <v>3552.43</v>
      </c>
      <c r="E21" s="69">
        <v>5595.84</v>
      </c>
      <c r="F21" s="69">
        <v>5335.59</v>
      </c>
      <c r="G21" s="69">
        <v>3066.56</v>
      </c>
      <c r="H21" s="69">
        <v>5616.81</v>
      </c>
      <c r="I21" s="69">
        <f>428.65+6818.24</f>
        <v>7246.8899999999994</v>
      </c>
      <c r="J21" s="69">
        <v>5396.62</v>
      </c>
      <c r="K21" s="14">
        <v>4500</v>
      </c>
      <c r="L21" s="69">
        <v>7949.81</v>
      </c>
      <c r="M21" s="14">
        <v>7000</v>
      </c>
      <c r="N21" s="69">
        <v>10283.67</v>
      </c>
      <c r="O21" s="14">
        <v>9200</v>
      </c>
      <c r="P21" s="13">
        <v>8315.43</v>
      </c>
      <c r="Q21" s="14">
        <v>9200</v>
      </c>
      <c r="R21" s="14"/>
      <c r="S21" s="14"/>
    </row>
    <row r="22" spans="1:19" hidden="1" x14ac:dyDescent="0.25">
      <c r="A22" s="224">
        <v>5277</v>
      </c>
      <c r="B22" s="7" t="s">
        <v>148</v>
      </c>
      <c r="C22" s="79"/>
      <c r="D22" s="13">
        <v>0</v>
      </c>
      <c r="E22" s="69"/>
      <c r="F22" s="69"/>
      <c r="G22" s="69"/>
      <c r="H22" s="69"/>
      <c r="I22" s="69"/>
      <c r="J22" s="69"/>
      <c r="K22" s="14"/>
      <c r="L22" s="69"/>
      <c r="M22" s="14"/>
      <c r="N22" s="69"/>
      <c r="O22" s="14"/>
      <c r="P22" s="13"/>
      <c r="Q22" s="14"/>
      <c r="R22" s="14"/>
      <c r="S22" s="14"/>
    </row>
    <row r="23" spans="1:19" hidden="1" x14ac:dyDescent="0.25">
      <c r="A23" s="224">
        <v>5278</v>
      </c>
      <c r="B23" s="7" t="s">
        <v>204</v>
      </c>
      <c r="C23" s="79">
        <v>6254.36</v>
      </c>
      <c r="D23" s="13">
        <v>7210.2</v>
      </c>
      <c r="E23" s="69">
        <v>7337.82</v>
      </c>
      <c r="F23" s="69">
        <v>9576.67</v>
      </c>
      <c r="G23" s="69">
        <v>11297.29</v>
      </c>
      <c r="H23" s="69">
        <v>10913.81</v>
      </c>
      <c r="I23" s="69">
        <v>12262.49</v>
      </c>
      <c r="J23" s="69">
        <v>9959.7000000000007</v>
      </c>
      <c r="K23" s="14">
        <v>0</v>
      </c>
      <c r="L23" s="69"/>
      <c r="M23" s="14">
        <v>0</v>
      </c>
      <c r="N23" s="69"/>
      <c r="O23" s="14">
        <v>0</v>
      </c>
      <c r="P23" s="13"/>
      <c r="Q23" s="14">
        <v>0</v>
      </c>
      <c r="R23" s="14"/>
      <c r="S23" s="14"/>
    </row>
    <row r="24" spans="1:19" x14ac:dyDescent="0.25">
      <c r="A24" s="224">
        <v>5310</v>
      </c>
      <c r="B24" s="7" t="s">
        <v>150</v>
      </c>
      <c r="C24" s="79">
        <v>1659.5</v>
      </c>
      <c r="D24" s="13">
        <v>1863</v>
      </c>
      <c r="E24" s="69">
        <v>1535</v>
      </c>
      <c r="F24" s="69">
        <v>1775.1</v>
      </c>
      <c r="G24" s="69">
        <v>2491</v>
      </c>
      <c r="H24" s="69">
        <v>10389.34</v>
      </c>
      <c r="I24" s="69">
        <v>5775</v>
      </c>
      <c r="J24" s="69">
        <v>4765</v>
      </c>
      <c r="K24" s="14">
        <v>5000</v>
      </c>
      <c r="L24" s="69">
        <v>3778</v>
      </c>
      <c r="M24" s="14">
        <v>5000</v>
      </c>
      <c r="N24" s="69">
        <v>3767.59</v>
      </c>
      <c r="O24" s="14">
        <v>5000</v>
      </c>
      <c r="P24" s="13">
        <v>1612.59</v>
      </c>
      <c r="Q24" s="14">
        <v>5000</v>
      </c>
      <c r="R24" s="14"/>
      <c r="S24" s="14"/>
    </row>
    <row r="25" spans="1:19" x14ac:dyDescent="0.25">
      <c r="A25" s="224">
        <v>5314</v>
      </c>
      <c r="B25" s="7" t="s">
        <v>41</v>
      </c>
      <c r="C25" s="79">
        <v>35</v>
      </c>
      <c r="D25" s="13">
        <v>65</v>
      </c>
      <c r="E25" s="69">
        <v>80</v>
      </c>
      <c r="F25" s="69">
        <v>100</v>
      </c>
      <c r="G25" s="69">
        <v>2040</v>
      </c>
      <c r="H25" s="69">
        <v>40</v>
      </c>
      <c r="I25" s="69">
        <v>210</v>
      </c>
      <c r="J25" s="69">
        <v>100</v>
      </c>
      <c r="K25" s="14">
        <v>200</v>
      </c>
      <c r="L25" s="69"/>
      <c r="M25" s="14">
        <v>200</v>
      </c>
      <c r="N25" s="69">
        <v>1330</v>
      </c>
      <c r="O25" s="14">
        <v>200</v>
      </c>
      <c r="P25" s="13"/>
      <c r="Q25" s="14">
        <v>1000</v>
      </c>
      <c r="R25" s="14"/>
      <c r="S25" s="14"/>
    </row>
    <row r="26" spans="1:19" x14ac:dyDescent="0.25">
      <c r="A26" s="224">
        <v>5315</v>
      </c>
      <c r="B26" s="7" t="s">
        <v>151</v>
      </c>
      <c r="C26" s="79">
        <v>24208.71</v>
      </c>
      <c r="D26" s="13">
        <v>21600.63</v>
      </c>
      <c r="E26" s="69">
        <v>27572.84</v>
      </c>
      <c r="F26" s="69">
        <v>29246.78</v>
      </c>
      <c r="G26" s="69">
        <f>40225.88-G27</f>
        <v>20041.039999999997</v>
      </c>
      <c r="H26" s="69">
        <f>32602.13-H27</f>
        <v>14179.400000000001</v>
      </c>
      <c r="I26" s="69">
        <v>22930.35</v>
      </c>
      <c r="J26" s="69">
        <v>10841.6</v>
      </c>
      <c r="K26" s="14">
        <v>18000</v>
      </c>
      <c r="L26" s="69">
        <v>29457.1</v>
      </c>
      <c r="M26" s="14">
        <v>18000</v>
      </c>
      <c r="N26" s="69">
        <v>15340.91</v>
      </c>
      <c r="O26" s="14">
        <v>18500</v>
      </c>
      <c r="P26" s="13">
        <v>3661</v>
      </c>
      <c r="Q26" s="14">
        <v>18500</v>
      </c>
      <c r="R26" s="14"/>
      <c r="S26" s="14"/>
    </row>
    <row r="27" spans="1:19" x14ac:dyDescent="0.25">
      <c r="A27" s="224">
        <v>5320</v>
      </c>
      <c r="B27" s="7" t="s">
        <v>152</v>
      </c>
      <c r="C27" s="79"/>
      <c r="D27" s="13"/>
      <c r="E27" s="69"/>
      <c r="F27" s="69"/>
      <c r="G27" s="69">
        <v>20184.84</v>
      </c>
      <c r="H27" s="69">
        <v>18422.73</v>
      </c>
      <c r="I27" s="69">
        <v>19083.580000000002</v>
      </c>
      <c r="J27" s="69">
        <v>27622.11</v>
      </c>
      <c r="K27" s="14">
        <v>22000</v>
      </c>
      <c r="L27" s="69">
        <v>25903.26</v>
      </c>
      <c r="M27" s="14">
        <v>28000</v>
      </c>
      <c r="N27" s="69">
        <v>23797.75</v>
      </c>
      <c r="O27" s="14">
        <v>28000</v>
      </c>
      <c r="P27" s="13">
        <v>3065.83</v>
      </c>
      <c r="Q27" s="14">
        <v>28000</v>
      </c>
      <c r="R27" s="14"/>
      <c r="S27" s="14"/>
    </row>
    <row r="28" spans="1:19" x14ac:dyDescent="0.25">
      <c r="A28" s="224">
        <v>5341</v>
      </c>
      <c r="B28" s="7" t="s">
        <v>153</v>
      </c>
      <c r="C28" s="79">
        <v>3078.49</v>
      </c>
      <c r="D28" s="13">
        <v>3210.87</v>
      </c>
      <c r="E28" s="69">
        <v>3419.12</v>
      </c>
      <c r="F28" s="69">
        <v>3544.05</v>
      </c>
      <c r="G28" s="69">
        <v>3468.11</v>
      </c>
      <c r="H28" s="69">
        <v>1848.31</v>
      </c>
      <c r="I28" s="69">
        <v>1750.2</v>
      </c>
      <c r="J28" s="69">
        <v>1771.2</v>
      </c>
      <c r="K28" s="14">
        <v>3500</v>
      </c>
      <c r="L28" s="69">
        <v>2094.5300000000002</v>
      </c>
      <c r="M28" s="14">
        <v>3500</v>
      </c>
      <c r="N28" s="69">
        <v>2200.96</v>
      </c>
      <c r="O28" s="14">
        <v>3000</v>
      </c>
      <c r="P28" s="13">
        <v>1544.27</v>
      </c>
      <c r="Q28" s="14">
        <v>3000</v>
      </c>
      <c r="R28" s="14"/>
      <c r="S28" s="14"/>
    </row>
    <row r="29" spans="1:19" x14ac:dyDescent="0.25">
      <c r="A29" s="224">
        <v>5344</v>
      </c>
      <c r="B29" s="7" t="s">
        <v>33</v>
      </c>
      <c r="C29" s="100">
        <v>60.4</v>
      </c>
      <c r="D29" s="13">
        <v>78.47</v>
      </c>
      <c r="E29" s="69">
        <v>55</v>
      </c>
      <c r="F29" s="69">
        <v>28.15</v>
      </c>
      <c r="G29" s="69">
        <v>20.82</v>
      </c>
      <c r="H29" s="69">
        <v>58.25</v>
      </c>
      <c r="I29" s="69">
        <v>31.22</v>
      </c>
      <c r="J29" s="69">
        <v>22</v>
      </c>
      <c r="K29" s="14">
        <v>100</v>
      </c>
      <c r="L29" s="69">
        <v>17.47</v>
      </c>
      <c r="M29" s="14">
        <v>100</v>
      </c>
      <c r="N29" s="69">
        <v>131.34</v>
      </c>
      <c r="O29" s="14">
        <v>100</v>
      </c>
      <c r="P29" s="13">
        <v>12</v>
      </c>
      <c r="Q29" s="14">
        <v>100</v>
      </c>
      <c r="R29" s="14"/>
      <c r="S29" s="14"/>
    </row>
    <row r="30" spans="1:19" x14ac:dyDescent="0.25">
      <c r="A30" s="224">
        <v>5345</v>
      </c>
      <c r="B30" s="7" t="s">
        <v>42</v>
      </c>
      <c r="C30" s="79">
        <v>50.81</v>
      </c>
      <c r="D30" s="13">
        <v>237.71</v>
      </c>
      <c r="E30" s="69">
        <v>835.56</v>
      </c>
      <c r="F30" s="69">
        <v>1284.3399999999999</v>
      </c>
      <c r="G30" s="69">
        <v>1533.36</v>
      </c>
      <c r="H30" s="69">
        <v>1075.22</v>
      </c>
      <c r="I30" s="69">
        <v>3390.59</v>
      </c>
      <c r="J30" s="69">
        <v>1518.32</v>
      </c>
      <c r="K30" s="14">
        <v>2500</v>
      </c>
      <c r="L30" s="69">
        <v>1531.24</v>
      </c>
      <c r="M30" s="14">
        <v>2500</v>
      </c>
      <c r="N30" s="69">
        <v>2514.33</v>
      </c>
      <c r="O30" s="14">
        <v>2500</v>
      </c>
      <c r="P30" s="13">
        <v>523.02</v>
      </c>
      <c r="Q30" s="14">
        <v>2500</v>
      </c>
      <c r="R30" s="14"/>
      <c r="S30" s="14"/>
    </row>
    <row r="31" spans="1:19" x14ac:dyDescent="0.25">
      <c r="A31" s="224">
        <v>5420</v>
      </c>
      <c r="B31" s="7" t="s">
        <v>43</v>
      </c>
      <c r="C31" s="69">
        <v>965.81</v>
      </c>
      <c r="D31" s="13">
        <v>694.26</v>
      </c>
      <c r="E31" s="69">
        <v>1611.93</v>
      </c>
      <c r="F31" s="69">
        <v>1141.1500000000001</v>
      </c>
      <c r="G31" s="69">
        <v>953.7</v>
      </c>
      <c r="H31" s="69">
        <v>1938.24</v>
      </c>
      <c r="I31" s="69">
        <v>1793.4</v>
      </c>
      <c r="J31" s="69">
        <v>861.64</v>
      </c>
      <c r="K31" s="14">
        <v>1750</v>
      </c>
      <c r="L31" s="69">
        <v>2708.1</v>
      </c>
      <c r="M31" s="14">
        <v>4000</v>
      </c>
      <c r="N31" s="69">
        <v>1700.87</v>
      </c>
      <c r="O31" s="14">
        <v>3500</v>
      </c>
      <c r="P31" s="13">
        <v>1219.44</v>
      </c>
      <c r="Q31" s="14">
        <v>3500</v>
      </c>
      <c r="R31" s="14"/>
      <c r="S31" s="14"/>
    </row>
    <row r="32" spans="1:19" x14ac:dyDescent="0.25">
      <c r="A32" s="224">
        <v>5430</v>
      </c>
      <c r="B32" s="7" t="s">
        <v>154</v>
      </c>
      <c r="C32" s="79">
        <v>680.13</v>
      </c>
      <c r="D32" s="13">
        <v>738.74</v>
      </c>
      <c r="E32" s="69">
        <v>671.33</v>
      </c>
      <c r="F32" s="69">
        <v>398.72</v>
      </c>
      <c r="G32" s="69">
        <v>4603.57</v>
      </c>
      <c r="H32" s="69">
        <v>440.97</v>
      </c>
      <c r="I32" s="69">
        <v>519.57000000000005</v>
      </c>
      <c r="J32" s="69">
        <v>549.82000000000005</v>
      </c>
      <c r="K32" s="14">
        <v>2500</v>
      </c>
      <c r="L32" s="69">
        <v>285.89</v>
      </c>
      <c r="M32" s="14">
        <v>2500</v>
      </c>
      <c r="N32" s="69">
        <v>1440</v>
      </c>
      <c r="O32" s="14">
        <v>2500</v>
      </c>
      <c r="P32" s="13"/>
      <c r="Q32" s="14">
        <v>2500</v>
      </c>
      <c r="R32" s="14"/>
      <c r="S32" s="14"/>
    </row>
    <row r="33" spans="1:22" hidden="1" x14ac:dyDescent="0.25">
      <c r="A33" s="224">
        <v>5432</v>
      </c>
      <c r="B33" s="7" t="s">
        <v>205</v>
      </c>
      <c r="C33" s="79">
        <v>37.119999999999997</v>
      </c>
      <c r="D33" s="13">
        <v>13.95</v>
      </c>
      <c r="E33" s="69"/>
      <c r="F33" s="69">
        <v>55.85</v>
      </c>
      <c r="G33" s="69"/>
      <c r="H33" s="69"/>
      <c r="I33" s="69"/>
      <c r="J33" s="69"/>
      <c r="K33" s="14"/>
      <c r="L33" s="69"/>
      <c r="M33" s="14"/>
      <c r="N33" s="69"/>
      <c r="O33" s="14"/>
      <c r="P33" s="8"/>
      <c r="Q33" s="14"/>
      <c r="R33" s="14"/>
      <c r="S33" s="14"/>
    </row>
    <row r="34" spans="1:22" x14ac:dyDescent="0.25">
      <c r="A34" s="224">
        <v>5435</v>
      </c>
      <c r="B34" s="7" t="s">
        <v>206</v>
      </c>
      <c r="C34" s="69">
        <v>2223.06</v>
      </c>
      <c r="D34" s="13">
        <v>1519.3</v>
      </c>
      <c r="E34" s="69">
        <v>2230.3200000000002</v>
      </c>
      <c r="F34" s="69">
        <v>3011.96</v>
      </c>
      <c r="G34" s="69">
        <v>2113.88</v>
      </c>
      <c r="H34" s="69">
        <v>6885.49</v>
      </c>
      <c r="I34" s="69">
        <v>3971.26</v>
      </c>
      <c r="J34" s="69">
        <v>9171.73</v>
      </c>
      <c r="K34" s="14">
        <v>5000</v>
      </c>
      <c r="L34" s="69">
        <v>2848.01</v>
      </c>
      <c r="M34" s="14">
        <v>5000</v>
      </c>
      <c r="N34" s="69">
        <v>4877.91</v>
      </c>
      <c r="O34" s="14">
        <v>5000</v>
      </c>
      <c r="P34" s="13">
        <v>2258.4299999999998</v>
      </c>
      <c r="Q34" s="14">
        <v>5000</v>
      </c>
      <c r="R34" s="14"/>
      <c r="S34" s="14"/>
    </row>
    <row r="35" spans="1:22" x14ac:dyDescent="0.25">
      <c r="A35" s="224">
        <v>5440</v>
      </c>
      <c r="B35" s="7" t="s">
        <v>157</v>
      </c>
      <c r="C35" s="79">
        <v>4022.66</v>
      </c>
      <c r="D35" s="13">
        <v>4443.3500000000004</v>
      </c>
      <c r="E35" s="69">
        <v>6122.27</v>
      </c>
      <c r="F35" s="69">
        <v>4464.0600000000004</v>
      </c>
      <c r="G35" s="69">
        <v>2584.31</v>
      </c>
      <c r="H35" s="69">
        <v>8262.68</v>
      </c>
      <c r="I35" s="69">
        <v>5721.25</v>
      </c>
      <c r="J35" s="69">
        <v>9061.2199999999993</v>
      </c>
      <c r="K35" s="14">
        <v>7000</v>
      </c>
      <c r="L35" s="69">
        <v>6192.19</v>
      </c>
      <c r="M35" s="14">
        <v>8000</v>
      </c>
      <c r="N35" s="69">
        <v>7341.42</v>
      </c>
      <c r="O35" s="14">
        <v>8000</v>
      </c>
      <c r="P35" s="13">
        <v>2352.25</v>
      </c>
      <c r="Q35" s="14">
        <v>10000</v>
      </c>
      <c r="R35" s="14"/>
      <c r="S35" s="14"/>
    </row>
    <row r="36" spans="1:22" x14ac:dyDescent="0.25">
      <c r="A36" s="224">
        <v>5443</v>
      </c>
      <c r="B36" s="7" t="s">
        <v>158</v>
      </c>
      <c r="C36" s="79">
        <v>16245.85</v>
      </c>
      <c r="D36" s="13">
        <v>20320.52</v>
      </c>
      <c r="E36" s="69">
        <v>16077.74</v>
      </c>
      <c r="F36" s="69">
        <v>42904.99</v>
      </c>
      <c r="G36" s="69">
        <v>20066.259999999998</v>
      </c>
      <c r="H36" s="69">
        <v>25480.45</v>
      </c>
      <c r="I36" s="69">
        <v>26714.95</v>
      </c>
      <c r="J36" s="69">
        <v>43697.94</v>
      </c>
      <c r="K36" s="14">
        <v>35000</v>
      </c>
      <c r="L36" s="69">
        <v>47691.71</v>
      </c>
      <c r="M36" s="14">
        <v>39000</v>
      </c>
      <c r="N36" s="69">
        <v>32038.6</v>
      </c>
      <c r="O36" s="14">
        <v>57000</v>
      </c>
      <c r="P36" s="13">
        <v>19024.54</v>
      </c>
      <c r="Q36" s="14">
        <v>57000</v>
      </c>
      <c r="R36" s="14"/>
      <c r="S36" s="14"/>
    </row>
    <row r="37" spans="1:22" x14ac:dyDescent="0.25">
      <c r="A37" s="224">
        <v>5481</v>
      </c>
      <c r="B37" s="7" t="s">
        <v>130</v>
      </c>
      <c r="C37" s="79">
        <v>23072.400000000001</v>
      </c>
      <c r="D37" s="8">
        <v>32924.959999999999</v>
      </c>
      <c r="E37" s="79">
        <v>27697.48</v>
      </c>
      <c r="F37" s="79">
        <v>18370.16</v>
      </c>
      <c r="G37" s="79">
        <v>11746.54</v>
      </c>
      <c r="H37" s="79">
        <v>27057.85</v>
      </c>
      <c r="I37" s="79">
        <v>32961.730000000003</v>
      </c>
      <c r="J37" s="79">
        <v>24671.91</v>
      </c>
      <c r="K37" s="9">
        <v>45000</v>
      </c>
      <c r="L37" s="69">
        <v>18138.169999999998</v>
      </c>
      <c r="M37" s="9">
        <v>45000</v>
      </c>
      <c r="N37" s="69">
        <v>20371.330000000002</v>
      </c>
      <c r="O37" s="9">
        <v>45000</v>
      </c>
      <c r="P37" s="13">
        <v>16172.35</v>
      </c>
      <c r="Q37" s="9">
        <v>63140</v>
      </c>
      <c r="R37" s="9"/>
      <c r="S37" s="9"/>
      <c r="V37" s="20"/>
    </row>
    <row r="38" spans="1:22" x14ac:dyDescent="0.25">
      <c r="A38" s="224">
        <v>5482</v>
      </c>
      <c r="B38" s="7" t="s">
        <v>160</v>
      </c>
      <c r="C38" s="79">
        <v>55086.99</v>
      </c>
      <c r="D38" s="8">
        <v>73803.73</v>
      </c>
      <c r="E38" s="79">
        <v>75053.789999999994</v>
      </c>
      <c r="F38" s="79">
        <v>49247.73</v>
      </c>
      <c r="G38" s="79">
        <v>30907.05</v>
      </c>
      <c r="H38" s="79">
        <v>32653.5</v>
      </c>
      <c r="I38" s="79">
        <v>50089.25</v>
      </c>
      <c r="J38" s="79">
        <v>42648.88</v>
      </c>
      <c r="K38" s="9">
        <v>60000</v>
      </c>
      <c r="L38" s="69">
        <v>20446</v>
      </c>
      <c r="M38" s="9">
        <v>53000</v>
      </c>
      <c r="N38" s="69">
        <v>34760.06</v>
      </c>
      <c r="O38" s="9">
        <v>53000</v>
      </c>
      <c r="P38" s="13">
        <v>33044.78</v>
      </c>
      <c r="Q38" s="9">
        <v>67200</v>
      </c>
      <c r="R38" s="9"/>
      <c r="S38" s="9"/>
      <c r="V38" s="20"/>
    </row>
    <row r="39" spans="1:22" x14ac:dyDescent="0.25">
      <c r="A39" s="224">
        <v>5484</v>
      </c>
      <c r="B39" s="7" t="s">
        <v>161</v>
      </c>
      <c r="C39" s="79">
        <v>41019.53</v>
      </c>
      <c r="D39" s="13">
        <v>46732</v>
      </c>
      <c r="E39" s="69">
        <v>75705.59</v>
      </c>
      <c r="F39" s="69">
        <v>71319.490000000005</v>
      </c>
      <c r="G39" s="69">
        <v>70335.48</v>
      </c>
      <c r="H39" s="69">
        <v>78729.27</v>
      </c>
      <c r="I39" s="69">
        <f>33.5+89540.21</f>
        <v>89573.71</v>
      </c>
      <c r="J39" s="69">
        <v>93738.67</v>
      </c>
      <c r="K39" s="14">
        <v>80000</v>
      </c>
      <c r="L39" s="69">
        <v>79364.2</v>
      </c>
      <c r="M39" s="14">
        <v>85000</v>
      </c>
      <c r="N39" s="69">
        <v>96232.29</v>
      </c>
      <c r="O39" s="14">
        <v>85000</v>
      </c>
      <c r="P39" s="13">
        <v>42429.88</v>
      </c>
      <c r="Q39" s="14">
        <v>85000</v>
      </c>
      <c r="R39" s="14"/>
      <c r="S39" s="14"/>
      <c r="V39" s="2"/>
    </row>
    <row r="40" spans="1:22" x14ac:dyDescent="0.25">
      <c r="A40" s="224">
        <v>5500</v>
      </c>
      <c r="B40" s="7" t="s">
        <v>162</v>
      </c>
      <c r="C40" s="79"/>
      <c r="D40" s="13"/>
      <c r="E40" s="69">
        <v>11.94</v>
      </c>
      <c r="F40" s="69"/>
      <c r="G40" s="69"/>
      <c r="H40" s="69"/>
      <c r="I40" s="69">
        <v>127.13</v>
      </c>
      <c r="J40" s="69">
        <v>947.82</v>
      </c>
      <c r="K40" s="14">
        <v>150</v>
      </c>
      <c r="L40" s="69">
        <v>381.74</v>
      </c>
      <c r="M40" s="14">
        <v>150</v>
      </c>
      <c r="N40" s="69">
        <v>219.17</v>
      </c>
      <c r="O40" s="14">
        <v>150</v>
      </c>
      <c r="P40" s="13">
        <v>163.53</v>
      </c>
      <c r="Q40" s="14">
        <v>200</v>
      </c>
      <c r="R40" s="14"/>
      <c r="S40" s="14"/>
    </row>
    <row r="41" spans="1:22" x14ac:dyDescent="0.25">
      <c r="A41" s="224">
        <v>5530</v>
      </c>
      <c r="B41" s="7" t="s">
        <v>163</v>
      </c>
      <c r="C41" s="79">
        <v>43029.4</v>
      </c>
      <c r="D41" s="13">
        <v>45445.69</v>
      </c>
      <c r="E41" s="69">
        <v>36322.94</v>
      </c>
      <c r="F41" s="69">
        <v>43379.03</v>
      </c>
      <c r="G41" s="69">
        <v>24572.81</v>
      </c>
      <c r="H41" s="69">
        <v>31418.53</v>
      </c>
      <c r="I41" s="69">
        <v>30491.41</v>
      </c>
      <c r="J41" s="69">
        <v>29182.49</v>
      </c>
      <c r="K41" s="14">
        <v>55000</v>
      </c>
      <c r="L41" s="69">
        <v>47021.23</v>
      </c>
      <c r="M41" s="14">
        <v>55000</v>
      </c>
      <c r="N41" s="69">
        <v>63954.71</v>
      </c>
      <c r="O41" s="14">
        <v>71500</v>
      </c>
      <c r="P41" s="13">
        <v>32583.87</v>
      </c>
      <c r="Q41" s="14">
        <v>71500</v>
      </c>
      <c r="R41" s="14"/>
      <c r="S41" s="14"/>
    </row>
    <row r="42" spans="1:22" hidden="1" x14ac:dyDescent="0.25">
      <c r="A42" s="224">
        <v>5534</v>
      </c>
      <c r="B42" s="7" t="s">
        <v>164</v>
      </c>
      <c r="C42" s="79">
        <v>125</v>
      </c>
      <c r="D42" s="13"/>
      <c r="E42" s="69"/>
      <c r="F42" s="69"/>
      <c r="G42" s="69"/>
      <c r="H42" s="69"/>
      <c r="I42" s="69"/>
      <c r="J42" s="69"/>
      <c r="K42" s="14"/>
      <c r="L42" s="69"/>
      <c r="M42" s="14"/>
      <c r="N42" s="69"/>
      <c r="O42" s="14"/>
      <c r="P42" s="13"/>
      <c r="Q42" s="14"/>
      <c r="R42" s="14"/>
      <c r="S42" s="14"/>
    </row>
    <row r="43" spans="1:22" x14ac:dyDescent="0.25">
      <c r="A43" s="224">
        <v>5580</v>
      </c>
      <c r="B43" s="7" t="s">
        <v>207</v>
      </c>
      <c r="C43" s="79"/>
      <c r="D43" s="13"/>
      <c r="E43" s="69"/>
      <c r="F43" s="69"/>
      <c r="G43" s="69"/>
      <c r="H43" s="69"/>
      <c r="I43" s="69">
        <v>12646.36</v>
      </c>
      <c r="J43" s="69"/>
      <c r="K43" s="14"/>
      <c r="L43" s="69"/>
      <c r="M43" s="14"/>
      <c r="N43" s="69"/>
      <c r="O43" s="14"/>
      <c r="P43" s="13"/>
      <c r="Q43" s="14"/>
      <c r="R43" s="14"/>
      <c r="S43" s="14"/>
    </row>
    <row r="44" spans="1:22" x14ac:dyDescent="0.25">
      <c r="A44" s="224">
        <v>5582</v>
      </c>
      <c r="B44" s="7" t="s">
        <v>131</v>
      </c>
      <c r="C44" s="79">
        <v>2596.34</v>
      </c>
      <c r="D44" s="13">
        <v>2080.9699999999998</v>
      </c>
      <c r="E44" s="69">
        <v>3880.7</v>
      </c>
      <c r="F44" s="69">
        <v>4245.47</v>
      </c>
      <c r="G44" s="69">
        <v>4901.04</v>
      </c>
      <c r="H44" s="69">
        <v>5798.09</v>
      </c>
      <c r="I44" s="69">
        <v>5887.39</v>
      </c>
      <c r="J44" s="69">
        <v>12423.84</v>
      </c>
      <c r="K44" s="14">
        <v>14000</v>
      </c>
      <c r="L44" s="69">
        <v>13865.13</v>
      </c>
      <c r="M44" s="14">
        <v>14000</v>
      </c>
      <c r="N44" s="69">
        <v>16235.69</v>
      </c>
      <c r="O44" s="14">
        <f>1500+14000</f>
        <v>15500</v>
      </c>
      <c r="P44" s="13">
        <v>7080.56</v>
      </c>
      <c r="Q44" s="14">
        <v>15500</v>
      </c>
      <c r="R44" s="14"/>
      <c r="S44" s="14"/>
    </row>
    <row r="45" spans="1:22" x14ac:dyDescent="0.25">
      <c r="A45" s="224">
        <v>5588</v>
      </c>
      <c r="B45" s="42" t="s">
        <v>165</v>
      </c>
      <c r="C45" s="79"/>
      <c r="D45" s="13"/>
      <c r="E45" s="69"/>
      <c r="F45" s="69"/>
      <c r="G45" s="69">
        <v>164</v>
      </c>
      <c r="H45" s="69"/>
      <c r="I45" s="69">
        <v>0</v>
      </c>
      <c r="J45" s="69"/>
      <c r="K45" s="14">
        <v>1000</v>
      </c>
      <c r="L45" s="69"/>
      <c r="M45" s="14">
        <v>1000</v>
      </c>
      <c r="N45" s="69"/>
      <c r="O45" s="14">
        <v>500</v>
      </c>
      <c r="P45" s="8"/>
      <c r="Q45" s="14">
        <v>500</v>
      </c>
      <c r="R45" s="14"/>
      <c r="S45" s="14"/>
    </row>
    <row r="46" spans="1:22" x14ac:dyDescent="0.25">
      <c r="A46" s="224">
        <v>5710</v>
      </c>
      <c r="B46" s="7" t="s">
        <v>45</v>
      </c>
      <c r="C46" s="121">
        <v>44.78</v>
      </c>
      <c r="D46" s="13">
        <v>22.6</v>
      </c>
      <c r="E46" s="69"/>
      <c r="F46" s="69"/>
      <c r="G46" s="69"/>
      <c r="H46" s="69"/>
      <c r="I46" s="69">
        <v>0</v>
      </c>
      <c r="J46" s="69"/>
      <c r="K46" s="14">
        <v>125</v>
      </c>
      <c r="L46" s="69"/>
      <c r="M46" s="14">
        <v>125</v>
      </c>
      <c r="N46" s="69">
        <v>103.9</v>
      </c>
      <c r="O46" s="14">
        <v>125</v>
      </c>
      <c r="P46" s="13"/>
      <c r="Q46" s="14">
        <v>125</v>
      </c>
      <c r="R46" s="14"/>
      <c r="S46" s="14"/>
    </row>
    <row r="47" spans="1:22" x14ac:dyDescent="0.25">
      <c r="A47" s="224">
        <v>5730</v>
      </c>
      <c r="B47" s="7" t="s">
        <v>46</v>
      </c>
      <c r="C47" s="100">
        <v>361</v>
      </c>
      <c r="D47" s="13">
        <v>233</v>
      </c>
      <c r="E47" s="69">
        <v>381</v>
      </c>
      <c r="F47" s="69">
        <v>381</v>
      </c>
      <c r="G47" s="69">
        <v>356</v>
      </c>
      <c r="H47" s="69">
        <v>125</v>
      </c>
      <c r="I47" s="69">
        <v>125</v>
      </c>
      <c r="J47" s="69">
        <v>125</v>
      </c>
      <c r="K47" s="14">
        <v>500</v>
      </c>
      <c r="L47" s="69">
        <v>431</v>
      </c>
      <c r="M47" s="14">
        <v>500</v>
      </c>
      <c r="N47" s="69">
        <v>850</v>
      </c>
      <c r="O47" s="14">
        <v>500</v>
      </c>
      <c r="P47" s="13">
        <v>1619</v>
      </c>
      <c r="Q47" s="14">
        <v>500</v>
      </c>
      <c r="R47" s="14"/>
      <c r="S47" s="14"/>
    </row>
    <row r="48" spans="1:22" hidden="1" x14ac:dyDescent="0.25">
      <c r="A48" s="238"/>
      <c r="B48" s="7" t="s">
        <v>132</v>
      </c>
      <c r="C48" s="100"/>
      <c r="D48" s="22"/>
      <c r="E48" s="121"/>
      <c r="F48" s="121"/>
      <c r="G48" s="121"/>
      <c r="H48" s="121"/>
      <c r="I48" s="121"/>
      <c r="J48" s="121"/>
      <c r="K48" s="23"/>
      <c r="L48" s="121">
        <v>4024.03</v>
      </c>
      <c r="M48" s="23"/>
      <c r="N48" s="121"/>
      <c r="O48" s="23"/>
      <c r="P48" s="22"/>
      <c r="Q48" s="23"/>
      <c r="R48" s="23"/>
      <c r="S48" s="23"/>
    </row>
    <row r="49" spans="1:22" ht="13.8" thickBot="1" x14ac:dyDescent="0.3">
      <c r="A49" s="237">
        <v>5783</v>
      </c>
      <c r="B49" s="42" t="s">
        <v>167</v>
      </c>
      <c r="C49" s="119">
        <v>780</v>
      </c>
      <c r="D49" s="10">
        <v>1710</v>
      </c>
      <c r="E49" s="119">
        <v>1440</v>
      </c>
      <c r="F49" s="119">
        <v>724</v>
      </c>
      <c r="G49" s="119">
        <v>567.9</v>
      </c>
      <c r="H49" s="119">
        <v>1328.7</v>
      </c>
      <c r="I49" s="119">
        <v>1056</v>
      </c>
      <c r="J49" s="119">
        <v>1204.95</v>
      </c>
      <c r="K49" s="11">
        <v>1500</v>
      </c>
      <c r="L49" s="119">
        <v>950</v>
      </c>
      <c r="M49" s="11">
        <v>1500</v>
      </c>
      <c r="N49" s="119">
        <v>1025.58</v>
      </c>
      <c r="O49" s="11">
        <v>1500</v>
      </c>
      <c r="P49" s="10">
        <v>531.53</v>
      </c>
      <c r="Q49" s="11">
        <v>1500</v>
      </c>
      <c r="R49" s="11">
        <v>1500</v>
      </c>
      <c r="S49" s="11"/>
    </row>
    <row r="50" spans="1:22" x14ac:dyDescent="0.25">
      <c r="A50" s="235"/>
      <c r="B50" s="44" t="s">
        <v>34</v>
      </c>
      <c r="C50" s="69">
        <f t="shared" ref="C50:S50" si="2">SUM(C18:C49)</f>
        <v>243566.75999999998</v>
      </c>
      <c r="D50" s="13">
        <f t="shared" si="2"/>
        <v>291089.50999999995</v>
      </c>
      <c r="E50" s="13">
        <f t="shared" si="2"/>
        <v>317125.98000000004</v>
      </c>
      <c r="F50" s="13">
        <f t="shared" si="2"/>
        <v>325780</v>
      </c>
      <c r="G50" s="13">
        <f t="shared" si="2"/>
        <v>266189.69999999995</v>
      </c>
      <c r="H50" s="13">
        <f t="shared" si="2"/>
        <v>308177.65000000002</v>
      </c>
      <c r="I50" s="13">
        <f t="shared" si="2"/>
        <v>353764.51</v>
      </c>
      <c r="J50" s="13">
        <f t="shared" si="2"/>
        <v>357516.41000000009</v>
      </c>
      <c r="K50" s="14">
        <f>SUM(K18:K49)</f>
        <v>402025</v>
      </c>
      <c r="L50" s="13">
        <f t="shared" ref="L50:N50" si="3">SUM(L18:L49)</f>
        <v>350249.79</v>
      </c>
      <c r="M50" s="14">
        <f>SUM(M18:M49)</f>
        <v>420775</v>
      </c>
      <c r="N50" s="13">
        <f t="shared" si="3"/>
        <v>367302.31000000006</v>
      </c>
      <c r="O50" s="14">
        <f>SUM(O18:O49)</f>
        <v>459375</v>
      </c>
      <c r="P50" s="13">
        <f t="shared" si="2"/>
        <v>181873.22</v>
      </c>
      <c r="Q50" s="14">
        <f>SUM(Q18:Q49)</f>
        <v>494565</v>
      </c>
      <c r="R50" s="14">
        <f>SUM(R18:R49)</f>
        <v>1500</v>
      </c>
      <c r="S50" s="14">
        <f t="shared" si="2"/>
        <v>0</v>
      </c>
    </row>
    <row r="51" spans="1:22" x14ac:dyDescent="0.25">
      <c r="A51" s="235"/>
      <c r="B51" s="44"/>
      <c r="C51" s="69"/>
      <c r="D51" s="13"/>
      <c r="E51" s="13"/>
      <c r="F51" s="13"/>
      <c r="G51" s="13"/>
      <c r="H51" s="13"/>
      <c r="I51" s="13"/>
      <c r="J51" s="13"/>
      <c r="K51" s="14"/>
      <c r="L51" s="13"/>
      <c r="M51" s="14"/>
      <c r="N51" s="13"/>
      <c r="O51" s="14"/>
      <c r="P51" s="13"/>
      <c r="Q51" s="14"/>
      <c r="R51" s="14"/>
      <c r="S51" s="14"/>
    </row>
    <row r="52" spans="1:22" ht="13.8" thickBot="1" x14ac:dyDescent="0.3">
      <c r="A52" s="235">
        <v>5800</v>
      </c>
      <c r="B52" s="21" t="s">
        <v>208</v>
      </c>
      <c r="C52" s="69"/>
      <c r="D52" s="13"/>
      <c r="E52" s="13"/>
      <c r="F52" s="10"/>
      <c r="G52" s="10"/>
      <c r="H52" s="10"/>
      <c r="I52" s="10">
        <v>21320.41</v>
      </c>
      <c r="J52" s="10">
        <v>21320.41</v>
      </c>
      <c r="K52" s="11">
        <v>24090</v>
      </c>
      <c r="L52" s="10">
        <v>21320.41</v>
      </c>
      <c r="M52" s="11">
        <v>21321</v>
      </c>
      <c r="N52" s="10">
        <v>21320.41</v>
      </c>
      <c r="O52" s="11"/>
      <c r="P52" s="10"/>
      <c r="Q52" s="11"/>
      <c r="R52" s="11"/>
      <c r="S52" s="11"/>
    </row>
    <row r="53" spans="1:22" x14ac:dyDescent="0.25">
      <c r="A53" s="235"/>
      <c r="B53" s="44" t="s">
        <v>61</v>
      </c>
      <c r="C53" s="69"/>
      <c r="D53" s="13"/>
      <c r="E53" s="13"/>
      <c r="F53" s="13"/>
      <c r="G53" s="13"/>
      <c r="H53" s="13"/>
      <c r="I53" s="13">
        <f>+I52</f>
        <v>21320.41</v>
      </c>
      <c r="J53" s="13">
        <f>+J52</f>
        <v>21320.41</v>
      </c>
      <c r="K53" s="14">
        <f>+K52</f>
        <v>24090</v>
      </c>
      <c r="L53" s="13">
        <f t="shared" ref="L53:O53" si="4">+L52</f>
        <v>21320.41</v>
      </c>
      <c r="M53" s="14">
        <f t="shared" si="4"/>
        <v>21321</v>
      </c>
      <c r="N53" s="13">
        <f t="shared" ref="N53" si="5">+N52</f>
        <v>21320.41</v>
      </c>
      <c r="O53" s="14">
        <f t="shared" si="4"/>
        <v>0</v>
      </c>
      <c r="P53" s="81">
        <f>+P52</f>
        <v>0</v>
      </c>
      <c r="Q53" s="14">
        <f>+Q52</f>
        <v>0</v>
      </c>
      <c r="R53" s="14">
        <f>+R52</f>
        <v>0</v>
      </c>
      <c r="S53" s="14">
        <f>+Q53</f>
        <v>0</v>
      </c>
    </row>
    <row r="54" spans="1:22" x14ac:dyDescent="0.25">
      <c r="A54" s="224"/>
      <c r="B54" s="7"/>
      <c r="C54" s="79"/>
      <c r="D54" s="8"/>
      <c r="E54" s="8"/>
      <c r="F54" s="8"/>
      <c r="G54" s="8"/>
      <c r="H54" s="8"/>
      <c r="I54" s="8"/>
      <c r="J54" s="8"/>
      <c r="K54" s="9"/>
      <c r="L54" s="8"/>
      <c r="M54" s="9"/>
      <c r="N54" s="8"/>
      <c r="O54" s="9"/>
      <c r="P54" s="86"/>
      <c r="Q54" s="9"/>
      <c r="R54" s="9"/>
      <c r="S54" s="9"/>
    </row>
    <row r="55" spans="1:22" ht="13.8" thickBot="1" x14ac:dyDescent="0.3">
      <c r="A55" s="225"/>
      <c r="B55" s="15" t="s">
        <v>209</v>
      </c>
      <c r="C55" s="122">
        <f t="shared" ref="C55:H55" si="6">+C50+C16</f>
        <v>802502.48</v>
      </c>
      <c r="D55" s="122">
        <f t="shared" si="6"/>
        <v>876670.5399999998</v>
      </c>
      <c r="E55" s="122">
        <f t="shared" si="6"/>
        <v>887268.20000000019</v>
      </c>
      <c r="F55" s="122">
        <f t="shared" si="6"/>
        <v>901975.19000000006</v>
      </c>
      <c r="G55" s="122">
        <f t="shared" si="6"/>
        <v>840324.77</v>
      </c>
      <c r="H55" s="122">
        <f t="shared" si="6"/>
        <v>912147.92999999993</v>
      </c>
      <c r="I55" s="16">
        <f>+I50+I16+I53</f>
        <v>986744.43</v>
      </c>
      <c r="J55" s="16">
        <f>+J50+J16+J53</f>
        <v>1026490.5600000002</v>
      </c>
      <c r="K55" s="31">
        <f>+K50+K16+K53</f>
        <v>1108316</v>
      </c>
      <c r="L55" s="16">
        <f t="shared" ref="L55:O55" si="7">+L50+L16+L53</f>
        <v>1029723.7500000001</v>
      </c>
      <c r="M55" s="31">
        <f t="shared" si="7"/>
        <v>1164708</v>
      </c>
      <c r="N55" s="16">
        <f t="shared" ref="N55" si="8">+N50+N16+N53</f>
        <v>1091957.8800000001</v>
      </c>
      <c r="O55" s="31">
        <f t="shared" si="7"/>
        <v>1189212</v>
      </c>
      <c r="P55" s="16">
        <f>+P50+P16+P53</f>
        <v>540120.97</v>
      </c>
      <c r="Q55" s="31">
        <f>+Q50+Q16+Q53</f>
        <v>1301796</v>
      </c>
      <c r="R55" s="31">
        <f>+R50+R16+R53</f>
        <v>1500</v>
      </c>
      <c r="S55" s="31">
        <f>+Q55</f>
        <v>1301796</v>
      </c>
    </row>
    <row r="56" spans="1:22" ht="13.8" thickTop="1" x14ac:dyDescent="0.25">
      <c r="A56" s="219"/>
      <c r="B56" s="3"/>
      <c r="C56" s="61"/>
      <c r="D56" s="18"/>
      <c r="E56" s="18"/>
      <c r="F56" s="18"/>
      <c r="G56" s="18"/>
      <c r="H56" s="18"/>
      <c r="I56" s="18"/>
      <c r="J56" s="18"/>
      <c r="K56" s="18"/>
      <c r="L56" s="18"/>
      <c r="M56" s="18"/>
      <c r="N56" s="18"/>
      <c r="O56" s="18"/>
      <c r="P56" s="94" t="s">
        <v>37</v>
      </c>
      <c r="Q56" s="278">
        <f>+Q55-O55</f>
        <v>112584</v>
      </c>
      <c r="R56" s="279">
        <f>ROUND((+Q56/O55),4)</f>
        <v>9.4700000000000006E-2</v>
      </c>
      <c r="S56" s="18"/>
      <c r="T56" s="20"/>
      <c r="U56" s="20"/>
      <c r="V56" s="20"/>
    </row>
    <row r="57" spans="1:22" x14ac:dyDescent="0.25">
      <c r="A57" s="45"/>
      <c r="B57" s="3"/>
      <c r="C57" s="61"/>
      <c r="D57" s="18"/>
      <c r="E57" s="18"/>
      <c r="F57" s="18"/>
      <c r="G57" s="18"/>
      <c r="H57" s="18"/>
      <c r="I57" s="18"/>
      <c r="J57" s="18"/>
      <c r="K57" s="18"/>
      <c r="L57" s="18"/>
      <c r="M57" s="18"/>
      <c r="N57" s="18"/>
      <c r="O57" s="18"/>
      <c r="P57" s="20"/>
      <c r="Q57" s="18"/>
      <c r="R57" s="18"/>
      <c r="S57" s="18"/>
      <c r="T57" s="20"/>
      <c r="U57" s="20"/>
      <c r="V57" s="20"/>
    </row>
    <row r="58" spans="1:22" x14ac:dyDescent="0.25">
      <c r="A58" s="45"/>
      <c r="B58" s="3"/>
      <c r="C58" s="61"/>
      <c r="D58" s="18"/>
      <c r="E58" s="18"/>
      <c r="F58" s="18"/>
      <c r="G58" s="18"/>
      <c r="H58" s="18"/>
      <c r="I58" s="18"/>
      <c r="J58" s="18"/>
      <c r="K58" s="18"/>
      <c r="L58" s="18"/>
      <c r="M58" s="18"/>
      <c r="N58" s="18"/>
      <c r="O58" s="18"/>
      <c r="P58" s="20"/>
      <c r="Q58" s="18"/>
      <c r="R58" s="18"/>
      <c r="S58" s="18"/>
      <c r="T58" s="20"/>
      <c r="U58" s="20"/>
      <c r="V58" s="20"/>
    </row>
    <row r="59" spans="1:22" ht="13.8" thickBot="1" x14ac:dyDescent="0.3">
      <c r="A59" s="219"/>
      <c r="B59" s="3"/>
      <c r="C59" s="61"/>
      <c r="D59" s="18"/>
      <c r="E59" s="18"/>
      <c r="F59" s="18"/>
      <c r="G59" s="18"/>
      <c r="H59" s="18"/>
      <c r="I59" s="18"/>
      <c r="J59" s="18"/>
      <c r="K59" s="18"/>
      <c r="L59" s="18"/>
      <c r="M59" s="18"/>
      <c r="N59" s="18"/>
      <c r="O59" s="18"/>
      <c r="P59" s="20"/>
      <c r="Q59" s="18"/>
      <c r="R59" s="18"/>
      <c r="S59" s="18"/>
      <c r="T59" s="20"/>
      <c r="U59" s="20"/>
      <c r="V59" s="20"/>
    </row>
    <row r="60" spans="1:22" ht="13.8" thickTop="1" x14ac:dyDescent="0.25">
      <c r="A60" s="231"/>
      <c r="B60" s="280" t="s">
        <v>305</v>
      </c>
      <c r="C60" s="146" t="s">
        <v>13</v>
      </c>
      <c r="D60" s="147" t="s">
        <v>13</v>
      </c>
      <c r="E60" s="147" t="s">
        <v>13</v>
      </c>
      <c r="F60" s="99"/>
      <c r="G60" s="99"/>
      <c r="H60" s="99"/>
      <c r="I60" s="99"/>
      <c r="J60" s="99"/>
      <c r="K60" s="99"/>
      <c r="L60" s="99"/>
      <c r="M60" s="148" t="s">
        <v>12</v>
      </c>
      <c r="N60" s="149" t="s">
        <v>31</v>
      </c>
      <c r="O60" s="150" t="s">
        <v>35</v>
      </c>
      <c r="P60" s="149" t="s">
        <v>36</v>
      </c>
      <c r="Q60" s="151"/>
      <c r="R60" s="193"/>
      <c r="S60" s="150"/>
      <c r="T60" s="20"/>
      <c r="U60" s="20"/>
      <c r="V60" s="20"/>
    </row>
    <row r="61" spans="1:22" ht="13.8" thickBot="1" x14ac:dyDescent="0.3">
      <c r="A61" s="232" t="s">
        <v>30</v>
      </c>
      <c r="B61" s="152"/>
      <c r="C61" s="153" t="s">
        <v>4</v>
      </c>
      <c r="D61" s="153" t="s">
        <v>5</v>
      </c>
      <c r="E61" s="154" t="s">
        <v>6</v>
      </c>
      <c r="F61" s="99"/>
      <c r="G61" s="99"/>
      <c r="H61" s="99"/>
      <c r="I61" s="99"/>
      <c r="J61" s="99"/>
      <c r="K61" s="99"/>
      <c r="L61" s="99"/>
      <c r="M61" s="155" t="s">
        <v>11</v>
      </c>
      <c r="N61" s="155" t="s">
        <v>18</v>
      </c>
      <c r="O61" s="154" t="s">
        <v>37</v>
      </c>
      <c r="P61" s="156" t="s">
        <v>37</v>
      </c>
      <c r="Q61" s="157" t="s">
        <v>38</v>
      </c>
      <c r="R61" s="194"/>
      <c r="S61" s="155"/>
      <c r="T61" s="20"/>
      <c r="U61" s="20"/>
      <c r="V61" s="20"/>
    </row>
    <row r="62" spans="1:22" ht="13.8" thickTop="1" x14ac:dyDescent="0.25">
      <c r="A62" s="233"/>
      <c r="B62" s="172"/>
      <c r="C62" s="173"/>
      <c r="D62" s="174"/>
      <c r="E62" s="174"/>
      <c r="F62" s="99"/>
      <c r="G62" s="99"/>
      <c r="H62" s="99"/>
      <c r="I62" s="99"/>
      <c r="J62" s="99"/>
      <c r="K62" s="99"/>
      <c r="L62" s="99"/>
      <c r="M62" s="175"/>
      <c r="N62" s="188"/>
      <c r="O62" s="175"/>
      <c r="P62" s="173"/>
      <c r="Q62" s="160"/>
      <c r="R62" s="195"/>
      <c r="S62" s="161"/>
      <c r="T62" s="20"/>
      <c r="U62" s="20"/>
      <c r="V62" s="20"/>
    </row>
    <row r="63" spans="1:22" x14ac:dyDescent="0.25">
      <c r="A63" s="234">
        <v>5112</v>
      </c>
      <c r="B63" s="162" t="s">
        <v>196</v>
      </c>
      <c r="C63" s="165">
        <v>544527.98</v>
      </c>
      <c r="D63" s="165">
        <f>165.7+562801.37+6191.59</f>
        <v>569158.65999999992</v>
      </c>
      <c r="E63" s="165">
        <v>540718.27</v>
      </c>
      <c r="F63" s="99"/>
      <c r="G63" s="99"/>
      <c r="H63" s="99"/>
      <c r="I63" s="99"/>
      <c r="J63" s="99"/>
      <c r="K63" s="99"/>
      <c r="L63" s="99"/>
      <c r="M63" s="206">
        <f>+O9+14768</f>
        <v>708415</v>
      </c>
      <c r="N63" s="178">
        <f t="shared" ref="N63:N69" si="9">+Q9</f>
        <v>770206</v>
      </c>
      <c r="O63" s="179">
        <f t="shared" ref="O63:O101" si="10">+N63-M63</f>
        <v>61791</v>
      </c>
      <c r="P63" s="166">
        <f t="shared" ref="P63:P94" si="11">IF(M63+N63&lt;&gt;0,IF(M63&lt;&gt;0,IF(O63&lt;&gt;0,ROUND((+O63/M63),4),""),1),"")</f>
        <v>8.72E-2</v>
      </c>
      <c r="Q63" s="160" t="s">
        <v>199</v>
      </c>
      <c r="R63" s="195"/>
      <c r="S63" s="161"/>
      <c r="T63" s="20"/>
      <c r="U63" s="20"/>
      <c r="V63" s="20"/>
    </row>
    <row r="64" spans="1:22" x14ac:dyDescent="0.25">
      <c r="A64" s="234">
        <v>5132</v>
      </c>
      <c r="B64" s="162" t="s">
        <v>141</v>
      </c>
      <c r="C64" s="165">
        <f>232.1+5303.32</f>
        <v>5535.42</v>
      </c>
      <c r="D64" s="165">
        <f>136.61+5676.65</f>
        <v>5813.2599999999993</v>
      </c>
      <c r="E64" s="165">
        <v>4186.1000000000004</v>
      </c>
      <c r="F64" s="99"/>
      <c r="G64" s="99"/>
      <c r="H64" s="99"/>
      <c r="I64" s="99"/>
      <c r="J64" s="99"/>
      <c r="K64" s="99"/>
      <c r="L64" s="99"/>
      <c r="M64" s="164">
        <f t="shared" ref="M64:M69" si="12">+O10</f>
        <v>12250</v>
      </c>
      <c r="N64" s="178">
        <f t="shared" si="9"/>
        <v>15000</v>
      </c>
      <c r="O64" s="179">
        <f t="shared" si="10"/>
        <v>2750</v>
      </c>
      <c r="P64" s="166">
        <f t="shared" si="11"/>
        <v>0.22450000000000001</v>
      </c>
      <c r="Q64" s="160" t="s">
        <v>199</v>
      </c>
      <c r="R64" s="195"/>
      <c r="S64" s="161"/>
      <c r="T64" s="20"/>
      <c r="U64" s="20"/>
      <c r="V64" s="20"/>
    </row>
    <row r="65" spans="1:22" x14ac:dyDescent="0.25">
      <c r="A65" s="234">
        <v>5142</v>
      </c>
      <c r="B65" s="162" t="s">
        <v>202</v>
      </c>
      <c r="C65" s="167">
        <v>5672.24</v>
      </c>
      <c r="D65" s="167">
        <f>19.09+5997.6</f>
        <v>6016.6900000000005</v>
      </c>
      <c r="E65" s="167">
        <v>6103.83</v>
      </c>
      <c r="F65" s="99"/>
      <c r="G65" s="99"/>
      <c r="H65" s="99"/>
      <c r="I65" s="99"/>
      <c r="J65" s="99"/>
      <c r="K65" s="99"/>
      <c r="L65" s="99"/>
      <c r="M65" s="164">
        <f t="shared" si="12"/>
        <v>20315</v>
      </c>
      <c r="N65" s="178">
        <f t="shared" si="9"/>
        <v>16800</v>
      </c>
      <c r="O65" s="179">
        <f t="shared" si="10"/>
        <v>-3515</v>
      </c>
      <c r="P65" s="166">
        <f t="shared" si="11"/>
        <v>-0.17299999999999999</v>
      </c>
      <c r="Q65" s="160" t="s">
        <v>199</v>
      </c>
      <c r="R65" s="195"/>
      <c r="S65" s="161"/>
      <c r="T65" s="20"/>
      <c r="U65" s="20"/>
      <c r="V65" s="20"/>
    </row>
    <row r="66" spans="1:22" x14ac:dyDescent="0.25">
      <c r="A66" s="234">
        <v>5144</v>
      </c>
      <c r="B66" s="162" t="s">
        <v>0</v>
      </c>
      <c r="C66" s="165">
        <v>2600</v>
      </c>
      <c r="D66" s="165">
        <v>3750</v>
      </c>
      <c r="E66" s="165">
        <v>3000</v>
      </c>
      <c r="F66" s="99"/>
      <c r="G66" s="99"/>
      <c r="H66" s="99"/>
      <c r="I66" s="99"/>
      <c r="J66" s="99"/>
      <c r="K66" s="99"/>
      <c r="L66" s="99"/>
      <c r="M66" s="164">
        <f t="shared" si="12"/>
        <v>2100</v>
      </c>
      <c r="N66" s="178">
        <f t="shared" si="9"/>
        <v>3700</v>
      </c>
      <c r="O66" s="179">
        <f t="shared" si="10"/>
        <v>1600</v>
      </c>
      <c r="P66" s="166">
        <f t="shared" si="11"/>
        <v>0.76190000000000002</v>
      </c>
      <c r="Q66" s="160"/>
      <c r="R66" s="195"/>
      <c r="S66" s="161"/>
      <c r="T66" s="20"/>
      <c r="U66" s="20"/>
      <c r="V66" s="20"/>
    </row>
    <row r="67" spans="1:22" x14ac:dyDescent="0.25">
      <c r="A67" s="234">
        <v>5145</v>
      </c>
      <c r="B67" s="162" t="s">
        <v>128</v>
      </c>
      <c r="C67" s="165">
        <v>600.08000000000004</v>
      </c>
      <c r="D67" s="165">
        <v>842.42</v>
      </c>
      <c r="E67" s="165">
        <v>1200.1600000000001</v>
      </c>
      <c r="F67" s="99"/>
      <c r="G67" s="99"/>
      <c r="H67" s="99"/>
      <c r="I67" s="99"/>
      <c r="J67" s="99"/>
      <c r="K67" s="99"/>
      <c r="L67" s="99"/>
      <c r="M67" s="164">
        <f t="shared" si="12"/>
        <v>1525</v>
      </c>
      <c r="N67" s="178">
        <f t="shared" si="9"/>
        <v>1525</v>
      </c>
      <c r="O67" s="179">
        <f t="shared" si="10"/>
        <v>0</v>
      </c>
      <c r="P67" s="166" t="str">
        <f t="shared" si="11"/>
        <v/>
      </c>
      <c r="Q67" s="160"/>
      <c r="R67" s="195"/>
      <c r="S67" s="161"/>
      <c r="T67" s="20"/>
      <c r="U67" s="20"/>
      <c r="V67" s="20"/>
    </row>
    <row r="68" spans="1:22" x14ac:dyDescent="0.25">
      <c r="A68" s="234">
        <v>5193</v>
      </c>
      <c r="B68" s="162" t="s">
        <v>59</v>
      </c>
      <c r="C68" s="165"/>
      <c r="D68" s="165"/>
      <c r="E68" s="165">
        <v>9799.56</v>
      </c>
      <c r="F68" s="99"/>
      <c r="G68" s="99"/>
      <c r="H68" s="99"/>
      <c r="I68" s="99"/>
      <c r="J68" s="99"/>
      <c r="K68" s="99"/>
      <c r="L68" s="99"/>
      <c r="M68" s="164">
        <f t="shared" si="12"/>
        <v>0</v>
      </c>
      <c r="N68" s="178">
        <f t="shared" si="9"/>
        <v>0</v>
      </c>
      <c r="O68" s="179">
        <f t="shared" si="10"/>
        <v>0</v>
      </c>
      <c r="P68" s="166" t="str">
        <f t="shared" si="11"/>
        <v/>
      </c>
      <c r="Q68" s="160"/>
      <c r="R68" s="195"/>
      <c r="S68" s="161"/>
      <c r="T68" s="20"/>
      <c r="U68" s="20"/>
      <c r="V68" s="20"/>
    </row>
    <row r="69" spans="1:22" ht="13.8" thickBot="1" x14ac:dyDescent="0.3">
      <c r="A69" s="234">
        <v>5194</v>
      </c>
      <c r="B69" s="162" t="s">
        <v>60</v>
      </c>
      <c r="C69" s="176"/>
      <c r="D69" s="176"/>
      <c r="E69" s="176">
        <v>5134.3</v>
      </c>
      <c r="F69" s="99"/>
      <c r="G69" s="99"/>
      <c r="H69" s="99"/>
      <c r="I69" s="99"/>
      <c r="J69" s="99"/>
      <c r="K69" s="99"/>
      <c r="L69" s="99"/>
      <c r="M69" s="164">
        <f t="shared" si="12"/>
        <v>0</v>
      </c>
      <c r="N69" s="178">
        <f t="shared" si="9"/>
        <v>0</v>
      </c>
      <c r="O69" s="179">
        <f t="shared" si="10"/>
        <v>0</v>
      </c>
      <c r="P69" s="166" t="str">
        <f t="shared" si="11"/>
        <v/>
      </c>
      <c r="Q69" s="160"/>
      <c r="R69" s="195"/>
      <c r="S69" s="161"/>
      <c r="T69" s="20"/>
      <c r="U69" s="20"/>
      <c r="V69" s="20"/>
    </row>
    <row r="70" spans="1:22" x14ac:dyDescent="0.25">
      <c r="A70" s="234">
        <v>5242</v>
      </c>
      <c r="B70" s="162" t="s">
        <v>143</v>
      </c>
      <c r="C70" s="165"/>
      <c r="D70" s="158">
        <v>1665</v>
      </c>
      <c r="E70" s="158">
        <v>687.54</v>
      </c>
      <c r="F70" s="99"/>
      <c r="G70" s="99"/>
      <c r="H70" s="99"/>
      <c r="I70" s="99"/>
      <c r="J70" s="99"/>
      <c r="K70" s="99"/>
      <c r="L70" s="99"/>
      <c r="M70" s="159">
        <f t="shared" ref="M70:M99" si="13">+O18</f>
        <v>7100</v>
      </c>
      <c r="N70" s="178">
        <f t="shared" ref="N70:N99" si="14">+Q18</f>
        <v>7100</v>
      </c>
      <c r="O70" s="179">
        <f t="shared" si="10"/>
        <v>0</v>
      </c>
      <c r="P70" s="166" t="str">
        <f t="shared" si="11"/>
        <v/>
      </c>
      <c r="Q70" s="160"/>
      <c r="R70" s="195"/>
      <c r="S70" s="161"/>
      <c r="T70" s="3"/>
      <c r="U70" s="3"/>
      <c r="V70" s="3"/>
    </row>
    <row r="71" spans="1:22" x14ac:dyDescent="0.25">
      <c r="A71" s="234">
        <v>5245</v>
      </c>
      <c r="B71" s="162" t="s">
        <v>145</v>
      </c>
      <c r="C71" s="165">
        <v>15640.85</v>
      </c>
      <c r="D71" s="158">
        <v>20923.13</v>
      </c>
      <c r="E71" s="158">
        <v>22296.94</v>
      </c>
      <c r="F71" s="99"/>
      <c r="G71" s="99"/>
      <c r="H71" s="99"/>
      <c r="I71" s="99"/>
      <c r="J71" s="99"/>
      <c r="K71" s="99"/>
      <c r="L71" s="99"/>
      <c r="M71" s="159">
        <f t="shared" si="13"/>
        <v>35000</v>
      </c>
      <c r="N71" s="178">
        <f t="shared" si="14"/>
        <v>35000</v>
      </c>
      <c r="O71" s="179">
        <f t="shared" si="10"/>
        <v>0</v>
      </c>
      <c r="P71" s="166" t="str">
        <f t="shared" si="11"/>
        <v/>
      </c>
      <c r="Q71" s="160"/>
      <c r="R71" s="195"/>
      <c r="S71" s="161"/>
      <c r="T71" s="3"/>
      <c r="U71" s="3"/>
      <c r="V71" s="3"/>
    </row>
    <row r="72" spans="1:22" x14ac:dyDescent="0.25">
      <c r="A72" s="234">
        <v>5248</v>
      </c>
      <c r="B72" s="162" t="s">
        <v>57</v>
      </c>
      <c r="C72" s="165"/>
      <c r="D72" s="158">
        <v>0</v>
      </c>
      <c r="E72" s="158">
        <v>503.29</v>
      </c>
      <c r="F72" s="99"/>
      <c r="G72" s="99"/>
      <c r="H72" s="99"/>
      <c r="I72" s="99"/>
      <c r="J72" s="99"/>
      <c r="K72" s="99"/>
      <c r="L72" s="99"/>
      <c r="M72" s="159">
        <f t="shared" si="13"/>
        <v>2000</v>
      </c>
      <c r="N72" s="178">
        <f t="shared" si="14"/>
        <v>2000</v>
      </c>
      <c r="O72" s="179">
        <f t="shared" si="10"/>
        <v>0</v>
      </c>
      <c r="P72" s="166" t="str">
        <f t="shared" si="11"/>
        <v/>
      </c>
      <c r="Q72" s="160"/>
      <c r="R72" s="195"/>
      <c r="S72" s="161"/>
      <c r="T72" s="3"/>
      <c r="U72" s="3"/>
      <c r="V72" s="3"/>
    </row>
    <row r="73" spans="1:22" x14ac:dyDescent="0.25">
      <c r="A73" s="234">
        <v>5251</v>
      </c>
      <c r="B73" s="162" t="s">
        <v>147</v>
      </c>
      <c r="C73" s="171">
        <v>2288.5700000000002</v>
      </c>
      <c r="D73" s="158">
        <v>3552.43</v>
      </c>
      <c r="E73" s="158">
        <v>5595.84</v>
      </c>
      <c r="F73" s="99"/>
      <c r="G73" s="99"/>
      <c r="H73" s="99"/>
      <c r="I73" s="99"/>
      <c r="J73" s="99"/>
      <c r="K73" s="99"/>
      <c r="L73" s="99"/>
      <c r="M73" s="159">
        <f t="shared" si="13"/>
        <v>9200</v>
      </c>
      <c r="N73" s="178">
        <f t="shared" si="14"/>
        <v>9200</v>
      </c>
      <c r="O73" s="179">
        <f t="shared" si="10"/>
        <v>0</v>
      </c>
      <c r="P73" s="166" t="str">
        <f t="shared" si="11"/>
        <v/>
      </c>
      <c r="Q73" s="160"/>
      <c r="R73" s="195"/>
      <c r="S73" s="161"/>
      <c r="T73" s="3"/>
      <c r="U73" s="3"/>
      <c r="V73" s="3"/>
    </row>
    <row r="74" spans="1:22" hidden="1" x14ac:dyDescent="0.25">
      <c r="A74" s="234">
        <v>5277</v>
      </c>
      <c r="B74" s="162" t="s">
        <v>148</v>
      </c>
      <c r="C74" s="165"/>
      <c r="D74" s="158">
        <v>0</v>
      </c>
      <c r="E74" s="158"/>
      <c r="F74" s="99"/>
      <c r="G74" s="99"/>
      <c r="H74" s="99"/>
      <c r="I74" s="99"/>
      <c r="J74" s="99"/>
      <c r="K74" s="99"/>
      <c r="L74" s="99"/>
      <c r="M74" s="159">
        <f t="shared" si="13"/>
        <v>0</v>
      </c>
      <c r="N74" s="178">
        <f t="shared" si="14"/>
        <v>0</v>
      </c>
      <c r="O74" s="179">
        <f t="shared" si="10"/>
        <v>0</v>
      </c>
      <c r="P74" s="166" t="str">
        <f t="shared" si="11"/>
        <v/>
      </c>
      <c r="Q74" s="160"/>
      <c r="R74" s="195"/>
      <c r="S74" s="161"/>
      <c r="T74" s="3"/>
      <c r="U74" s="3"/>
      <c r="V74" s="3"/>
    </row>
    <row r="75" spans="1:22" hidden="1" x14ac:dyDescent="0.25">
      <c r="A75" s="234">
        <v>5278</v>
      </c>
      <c r="B75" s="162" t="s">
        <v>204</v>
      </c>
      <c r="C75" s="165">
        <v>6254.36</v>
      </c>
      <c r="D75" s="158">
        <v>7210.2</v>
      </c>
      <c r="E75" s="158">
        <v>7337.82</v>
      </c>
      <c r="F75" s="99"/>
      <c r="G75" s="99"/>
      <c r="H75" s="99"/>
      <c r="I75" s="99"/>
      <c r="J75" s="99"/>
      <c r="K75" s="99"/>
      <c r="L75" s="99"/>
      <c r="M75" s="159">
        <f t="shared" si="13"/>
        <v>0</v>
      </c>
      <c r="N75" s="178">
        <f t="shared" si="14"/>
        <v>0</v>
      </c>
      <c r="O75" s="179">
        <f t="shared" si="10"/>
        <v>0</v>
      </c>
      <c r="P75" s="166" t="str">
        <f t="shared" si="11"/>
        <v/>
      </c>
      <c r="Q75" s="160"/>
      <c r="R75" s="195"/>
      <c r="S75" s="161"/>
      <c r="T75" s="3"/>
      <c r="U75" s="3"/>
      <c r="V75" s="3"/>
    </row>
    <row r="76" spans="1:22" x14ac:dyDescent="0.25">
      <c r="A76" s="234">
        <v>5310</v>
      </c>
      <c r="B76" s="162" t="s">
        <v>150</v>
      </c>
      <c r="C76" s="165">
        <v>1659.5</v>
      </c>
      <c r="D76" s="158">
        <v>1863</v>
      </c>
      <c r="E76" s="158">
        <v>1535</v>
      </c>
      <c r="F76" s="99"/>
      <c r="G76" s="99"/>
      <c r="H76" s="99"/>
      <c r="I76" s="99"/>
      <c r="J76" s="99"/>
      <c r="K76" s="99"/>
      <c r="L76" s="99"/>
      <c r="M76" s="159">
        <f t="shared" si="13"/>
        <v>5000</v>
      </c>
      <c r="N76" s="178">
        <f t="shared" si="14"/>
        <v>5000</v>
      </c>
      <c r="O76" s="179">
        <f t="shared" si="10"/>
        <v>0</v>
      </c>
      <c r="P76" s="166" t="str">
        <f t="shared" si="11"/>
        <v/>
      </c>
      <c r="Q76" s="160"/>
      <c r="R76" s="195"/>
      <c r="S76" s="161"/>
      <c r="T76" s="3"/>
      <c r="U76" s="3"/>
      <c r="V76" s="3"/>
    </row>
    <row r="77" spans="1:22" x14ac:dyDescent="0.25">
      <c r="A77" s="234">
        <v>5314</v>
      </c>
      <c r="B77" s="162" t="s">
        <v>41</v>
      </c>
      <c r="C77" s="165">
        <v>35</v>
      </c>
      <c r="D77" s="158">
        <v>65</v>
      </c>
      <c r="E77" s="158">
        <v>80</v>
      </c>
      <c r="F77" s="99"/>
      <c r="G77" s="99"/>
      <c r="H77" s="99"/>
      <c r="I77" s="99"/>
      <c r="J77" s="99"/>
      <c r="K77" s="99"/>
      <c r="L77" s="99"/>
      <c r="M77" s="159">
        <f t="shared" si="13"/>
        <v>200</v>
      </c>
      <c r="N77" s="178">
        <f t="shared" si="14"/>
        <v>1000</v>
      </c>
      <c r="O77" s="179">
        <f t="shared" si="10"/>
        <v>800</v>
      </c>
      <c r="P77" s="166">
        <f t="shared" si="11"/>
        <v>4</v>
      </c>
      <c r="Q77" s="160" t="s">
        <v>296</v>
      </c>
      <c r="R77" s="195"/>
      <c r="S77" s="161"/>
      <c r="T77" s="3"/>
      <c r="U77" s="3"/>
      <c r="V77" s="3"/>
    </row>
    <row r="78" spans="1:22" x14ac:dyDescent="0.25">
      <c r="A78" s="234">
        <v>5315</v>
      </c>
      <c r="B78" s="162" t="s">
        <v>151</v>
      </c>
      <c r="C78" s="165">
        <v>24208.71</v>
      </c>
      <c r="D78" s="158">
        <v>21600.63</v>
      </c>
      <c r="E78" s="158">
        <v>27572.84</v>
      </c>
      <c r="F78" s="99"/>
      <c r="G78" s="99"/>
      <c r="H78" s="99"/>
      <c r="I78" s="99"/>
      <c r="J78" s="99"/>
      <c r="K78" s="99"/>
      <c r="L78" s="99"/>
      <c r="M78" s="159">
        <f t="shared" si="13"/>
        <v>18500</v>
      </c>
      <c r="N78" s="178">
        <f t="shared" si="14"/>
        <v>18500</v>
      </c>
      <c r="O78" s="179">
        <f t="shared" si="10"/>
        <v>0</v>
      </c>
      <c r="P78" s="166" t="str">
        <f t="shared" si="11"/>
        <v/>
      </c>
      <c r="Q78" s="160"/>
      <c r="R78" s="195"/>
      <c r="S78" s="161"/>
      <c r="T78" s="3"/>
      <c r="U78" s="3"/>
      <c r="V78" s="3"/>
    </row>
    <row r="79" spans="1:22" x14ac:dyDescent="0.25">
      <c r="A79" s="234">
        <v>5320</v>
      </c>
      <c r="B79" s="162" t="s">
        <v>152</v>
      </c>
      <c r="C79" s="165"/>
      <c r="D79" s="158"/>
      <c r="E79" s="158"/>
      <c r="F79" s="99"/>
      <c r="G79" s="99"/>
      <c r="H79" s="99"/>
      <c r="I79" s="99"/>
      <c r="J79" s="99"/>
      <c r="K79" s="99"/>
      <c r="L79" s="99"/>
      <c r="M79" s="159">
        <f t="shared" si="13"/>
        <v>28000</v>
      </c>
      <c r="N79" s="178">
        <f t="shared" si="14"/>
        <v>28000</v>
      </c>
      <c r="O79" s="179">
        <f t="shared" si="10"/>
        <v>0</v>
      </c>
      <c r="P79" s="166" t="str">
        <f t="shared" si="11"/>
        <v/>
      </c>
      <c r="Q79" s="160"/>
      <c r="R79" s="195"/>
      <c r="S79" s="161"/>
      <c r="T79" s="3"/>
      <c r="U79" s="3"/>
      <c r="V79" s="3"/>
    </row>
    <row r="80" spans="1:22" x14ac:dyDescent="0.25">
      <c r="A80" s="234">
        <v>5341</v>
      </c>
      <c r="B80" s="162" t="s">
        <v>153</v>
      </c>
      <c r="C80" s="165">
        <v>3078.49</v>
      </c>
      <c r="D80" s="158">
        <v>3210.87</v>
      </c>
      <c r="E80" s="158">
        <v>3419.12</v>
      </c>
      <c r="F80" s="99"/>
      <c r="G80" s="99"/>
      <c r="H80" s="99"/>
      <c r="I80" s="99"/>
      <c r="J80" s="99"/>
      <c r="K80" s="99"/>
      <c r="L80" s="99"/>
      <c r="M80" s="159">
        <f t="shared" si="13"/>
        <v>3000</v>
      </c>
      <c r="N80" s="178">
        <f t="shared" si="14"/>
        <v>3000</v>
      </c>
      <c r="O80" s="179">
        <f t="shared" si="10"/>
        <v>0</v>
      </c>
      <c r="P80" s="166" t="str">
        <f t="shared" si="11"/>
        <v/>
      </c>
      <c r="Q80" s="160"/>
      <c r="R80" s="195"/>
      <c r="S80" s="161"/>
      <c r="T80" s="3"/>
      <c r="U80" s="3"/>
      <c r="V80" s="3"/>
    </row>
    <row r="81" spans="1:22" x14ac:dyDescent="0.25">
      <c r="A81" s="234">
        <v>5344</v>
      </c>
      <c r="B81" s="162" t="s">
        <v>33</v>
      </c>
      <c r="C81" s="167">
        <v>60.4</v>
      </c>
      <c r="D81" s="158">
        <v>78.47</v>
      </c>
      <c r="E81" s="158">
        <v>55</v>
      </c>
      <c r="F81" s="99"/>
      <c r="G81" s="99"/>
      <c r="H81" s="99"/>
      <c r="I81" s="99"/>
      <c r="J81" s="99"/>
      <c r="K81" s="99"/>
      <c r="L81" s="99"/>
      <c r="M81" s="159">
        <f t="shared" si="13"/>
        <v>100</v>
      </c>
      <c r="N81" s="178">
        <f t="shared" si="14"/>
        <v>100</v>
      </c>
      <c r="O81" s="179">
        <f t="shared" si="10"/>
        <v>0</v>
      </c>
      <c r="P81" s="166" t="str">
        <f t="shared" si="11"/>
        <v/>
      </c>
      <c r="Q81" s="160"/>
      <c r="R81" s="195"/>
      <c r="S81" s="161"/>
      <c r="T81" s="3"/>
      <c r="U81" s="3"/>
      <c r="V81" s="3"/>
    </row>
    <row r="82" spans="1:22" x14ac:dyDescent="0.25">
      <c r="A82" s="234">
        <v>5345</v>
      </c>
      <c r="B82" s="162" t="s">
        <v>42</v>
      </c>
      <c r="C82" s="165">
        <v>50.81</v>
      </c>
      <c r="D82" s="158">
        <v>237.71</v>
      </c>
      <c r="E82" s="158">
        <v>835.56</v>
      </c>
      <c r="F82" s="99"/>
      <c r="G82" s="99"/>
      <c r="H82" s="99"/>
      <c r="I82" s="99"/>
      <c r="J82" s="99"/>
      <c r="K82" s="99"/>
      <c r="L82" s="99"/>
      <c r="M82" s="159">
        <f t="shared" si="13"/>
        <v>2500</v>
      </c>
      <c r="N82" s="178">
        <f t="shared" si="14"/>
        <v>2500</v>
      </c>
      <c r="O82" s="179">
        <f t="shared" si="10"/>
        <v>0</v>
      </c>
      <c r="P82" s="166" t="str">
        <f t="shared" si="11"/>
        <v/>
      </c>
      <c r="Q82" s="160"/>
      <c r="R82" s="195"/>
      <c r="S82" s="161"/>
      <c r="T82" s="3"/>
      <c r="U82" s="3"/>
      <c r="V82" s="3"/>
    </row>
    <row r="83" spans="1:22" x14ac:dyDescent="0.25">
      <c r="A83" s="234">
        <v>5420</v>
      </c>
      <c r="B83" s="162" t="s">
        <v>43</v>
      </c>
      <c r="C83" s="158">
        <v>965.81</v>
      </c>
      <c r="D83" s="158">
        <v>694.26</v>
      </c>
      <c r="E83" s="158">
        <v>1611.93</v>
      </c>
      <c r="F83" s="99"/>
      <c r="G83" s="99"/>
      <c r="H83" s="99"/>
      <c r="I83" s="99"/>
      <c r="J83" s="99"/>
      <c r="K83" s="99"/>
      <c r="L83" s="99"/>
      <c r="M83" s="159">
        <f t="shared" si="13"/>
        <v>3500</v>
      </c>
      <c r="N83" s="178">
        <f t="shared" si="14"/>
        <v>3500</v>
      </c>
      <c r="O83" s="179">
        <f t="shared" si="10"/>
        <v>0</v>
      </c>
      <c r="P83" s="166" t="str">
        <f t="shared" si="11"/>
        <v/>
      </c>
      <c r="Q83" s="160"/>
      <c r="R83" s="195"/>
      <c r="S83" s="161"/>
      <c r="T83" s="3"/>
      <c r="U83" s="3"/>
      <c r="V83" s="3"/>
    </row>
    <row r="84" spans="1:22" x14ac:dyDescent="0.25">
      <c r="A84" s="234">
        <v>5430</v>
      </c>
      <c r="B84" s="162" t="s">
        <v>154</v>
      </c>
      <c r="C84" s="165">
        <v>680.13</v>
      </c>
      <c r="D84" s="158">
        <v>738.74</v>
      </c>
      <c r="E84" s="158">
        <v>671.33</v>
      </c>
      <c r="F84" s="99"/>
      <c r="G84" s="99"/>
      <c r="H84" s="99"/>
      <c r="I84" s="99"/>
      <c r="J84" s="99"/>
      <c r="K84" s="99"/>
      <c r="L84" s="99"/>
      <c r="M84" s="159">
        <f t="shared" si="13"/>
        <v>2500</v>
      </c>
      <c r="N84" s="178">
        <f t="shared" si="14"/>
        <v>2500</v>
      </c>
      <c r="O84" s="179">
        <f t="shared" si="10"/>
        <v>0</v>
      </c>
      <c r="P84" s="166" t="str">
        <f t="shared" si="11"/>
        <v/>
      </c>
      <c r="Q84" s="160"/>
      <c r="R84" s="195"/>
      <c r="S84" s="161"/>
      <c r="T84" s="3"/>
      <c r="U84" s="3"/>
      <c r="V84" s="3"/>
    </row>
    <row r="85" spans="1:22" x14ac:dyDescent="0.25">
      <c r="A85" s="234">
        <v>5432</v>
      </c>
      <c r="B85" s="162" t="s">
        <v>205</v>
      </c>
      <c r="C85" s="165">
        <v>37.119999999999997</v>
      </c>
      <c r="D85" s="158">
        <v>13.95</v>
      </c>
      <c r="E85" s="158"/>
      <c r="F85" s="99"/>
      <c r="G85" s="99"/>
      <c r="H85" s="99"/>
      <c r="I85" s="99"/>
      <c r="J85" s="99"/>
      <c r="K85" s="99"/>
      <c r="L85" s="99"/>
      <c r="M85" s="159">
        <f t="shared" si="13"/>
        <v>0</v>
      </c>
      <c r="N85" s="178">
        <f t="shared" si="14"/>
        <v>0</v>
      </c>
      <c r="O85" s="179">
        <f t="shared" si="10"/>
        <v>0</v>
      </c>
      <c r="P85" s="166" t="str">
        <f t="shared" si="11"/>
        <v/>
      </c>
      <c r="Q85" s="160"/>
      <c r="R85" s="195"/>
      <c r="S85" s="161"/>
      <c r="T85" s="3"/>
      <c r="U85" s="3"/>
      <c r="V85" s="3"/>
    </row>
    <row r="86" spans="1:22" x14ac:dyDescent="0.25">
      <c r="A86" s="234">
        <v>5435</v>
      </c>
      <c r="B86" s="162" t="s">
        <v>206</v>
      </c>
      <c r="C86" s="158">
        <v>2223.06</v>
      </c>
      <c r="D86" s="158">
        <v>1519.3</v>
      </c>
      <c r="E86" s="158">
        <v>2230.3200000000002</v>
      </c>
      <c r="F86" s="99"/>
      <c r="G86" s="99"/>
      <c r="H86" s="99"/>
      <c r="I86" s="99"/>
      <c r="J86" s="99"/>
      <c r="K86" s="99"/>
      <c r="L86" s="99"/>
      <c r="M86" s="159">
        <f t="shared" si="13"/>
        <v>5000</v>
      </c>
      <c r="N86" s="178">
        <f t="shared" si="14"/>
        <v>5000</v>
      </c>
      <c r="O86" s="179">
        <f t="shared" si="10"/>
        <v>0</v>
      </c>
      <c r="P86" s="166" t="str">
        <f t="shared" si="11"/>
        <v/>
      </c>
      <c r="Q86" s="160"/>
      <c r="R86" s="195"/>
      <c r="S86" s="161"/>
      <c r="T86" s="3"/>
      <c r="U86" s="3"/>
      <c r="V86" s="3"/>
    </row>
    <row r="87" spans="1:22" x14ac:dyDescent="0.25">
      <c r="A87" s="234">
        <v>5440</v>
      </c>
      <c r="B87" s="162" t="s">
        <v>157</v>
      </c>
      <c r="C87" s="165">
        <v>4022.66</v>
      </c>
      <c r="D87" s="158">
        <v>4443.3500000000004</v>
      </c>
      <c r="E87" s="158">
        <v>6122.27</v>
      </c>
      <c r="F87" s="99"/>
      <c r="G87" s="99"/>
      <c r="H87" s="99"/>
      <c r="I87" s="99"/>
      <c r="J87" s="99"/>
      <c r="K87" s="99"/>
      <c r="L87" s="99"/>
      <c r="M87" s="159">
        <f t="shared" si="13"/>
        <v>8000</v>
      </c>
      <c r="N87" s="178">
        <f t="shared" si="14"/>
        <v>10000</v>
      </c>
      <c r="O87" s="179">
        <f t="shared" si="10"/>
        <v>2000</v>
      </c>
      <c r="P87" s="166">
        <f t="shared" si="11"/>
        <v>0.25</v>
      </c>
      <c r="Q87" s="160" t="s">
        <v>297</v>
      </c>
      <c r="R87" s="195"/>
      <c r="S87" s="161"/>
      <c r="T87" s="3"/>
      <c r="U87" s="3"/>
      <c r="V87" s="3"/>
    </row>
    <row r="88" spans="1:22" x14ac:dyDescent="0.25">
      <c r="A88" s="234">
        <v>5443</v>
      </c>
      <c r="B88" s="162" t="s">
        <v>158</v>
      </c>
      <c r="C88" s="165">
        <v>16245.85</v>
      </c>
      <c r="D88" s="158">
        <v>20320.52</v>
      </c>
      <c r="E88" s="158">
        <v>16077.74</v>
      </c>
      <c r="F88" s="99"/>
      <c r="G88" s="99"/>
      <c r="H88" s="99"/>
      <c r="I88" s="99"/>
      <c r="J88" s="99"/>
      <c r="K88" s="99"/>
      <c r="L88" s="99"/>
      <c r="M88" s="159">
        <f t="shared" si="13"/>
        <v>57000</v>
      </c>
      <c r="N88" s="178">
        <f t="shared" si="14"/>
        <v>57000</v>
      </c>
      <c r="O88" s="179">
        <f t="shared" si="10"/>
        <v>0</v>
      </c>
      <c r="P88" s="166" t="str">
        <f t="shared" si="11"/>
        <v/>
      </c>
      <c r="Q88" s="160"/>
      <c r="R88" s="195"/>
      <c r="S88" s="161"/>
      <c r="T88" s="3"/>
      <c r="U88" s="3"/>
      <c r="V88" s="3"/>
    </row>
    <row r="89" spans="1:22" x14ac:dyDescent="0.25">
      <c r="A89" s="234">
        <v>5481</v>
      </c>
      <c r="B89" s="162" t="s">
        <v>130</v>
      </c>
      <c r="C89" s="165">
        <v>23072.400000000001</v>
      </c>
      <c r="D89" s="165">
        <v>32924.959999999999</v>
      </c>
      <c r="E89" s="165">
        <v>27697.48</v>
      </c>
      <c r="F89" s="99"/>
      <c r="G89" s="99"/>
      <c r="H89" s="99"/>
      <c r="I89" s="99"/>
      <c r="J89" s="99"/>
      <c r="K89" s="99"/>
      <c r="L89" s="99"/>
      <c r="M89" s="159">
        <f t="shared" si="13"/>
        <v>45000</v>
      </c>
      <c r="N89" s="178">
        <f t="shared" si="14"/>
        <v>63140</v>
      </c>
      <c r="O89" s="179">
        <f t="shared" si="10"/>
        <v>18140</v>
      </c>
      <c r="P89" s="166">
        <f t="shared" si="11"/>
        <v>0.40310000000000001</v>
      </c>
      <c r="Q89" s="160" t="s">
        <v>297</v>
      </c>
      <c r="R89" s="195"/>
      <c r="S89" s="161"/>
      <c r="T89" s="3"/>
      <c r="U89" s="3"/>
      <c r="V89" s="3"/>
    </row>
    <row r="90" spans="1:22" x14ac:dyDescent="0.25">
      <c r="A90" s="234">
        <v>5482</v>
      </c>
      <c r="B90" s="162" t="s">
        <v>160</v>
      </c>
      <c r="C90" s="165">
        <v>55086.99</v>
      </c>
      <c r="D90" s="165">
        <v>73803.73</v>
      </c>
      <c r="E90" s="165">
        <v>75053.789999999994</v>
      </c>
      <c r="F90" s="99"/>
      <c r="G90" s="99"/>
      <c r="H90" s="99"/>
      <c r="I90" s="99"/>
      <c r="J90" s="99"/>
      <c r="K90" s="99"/>
      <c r="L90" s="99"/>
      <c r="M90" s="159">
        <f t="shared" si="13"/>
        <v>53000</v>
      </c>
      <c r="N90" s="178">
        <f t="shared" si="14"/>
        <v>67200</v>
      </c>
      <c r="O90" s="179">
        <f t="shared" si="10"/>
        <v>14200</v>
      </c>
      <c r="P90" s="166">
        <f t="shared" si="11"/>
        <v>0.26790000000000003</v>
      </c>
      <c r="Q90" s="160" t="s">
        <v>297</v>
      </c>
      <c r="R90" s="195"/>
      <c r="S90" s="161"/>
      <c r="T90" s="3"/>
      <c r="U90" s="3"/>
      <c r="V90" s="3"/>
    </row>
    <row r="91" spans="1:22" x14ac:dyDescent="0.25">
      <c r="A91" s="234">
        <v>5484</v>
      </c>
      <c r="B91" s="162" t="s">
        <v>161</v>
      </c>
      <c r="C91" s="165">
        <v>41019.53</v>
      </c>
      <c r="D91" s="158">
        <v>46732</v>
      </c>
      <c r="E91" s="158">
        <v>75705.59</v>
      </c>
      <c r="F91" s="99"/>
      <c r="G91" s="99"/>
      <c r="H91" s="99"/>
      <c r="I91" s="99"/>
      <c r="J91" s="99"/>
      <c r="K91" s="99"/>
      <c r="L91" s="99"/>
      <c r="M91" s="159">
        <f t="shared" si="13"/>
        <v>85000</v>
      </c>
      <c r="N91" s="178">
        <f t="shared" si="14"/>
        <v>85000</v>
      </c>
      <c r="O91" s="179">
        <f t="shared" si="10"/>
        <v>0</v>
      </c>
      <c r="P91" s="166" t="str">
        <f t="shared" si="11"/>
        <v/>
      </c>
      <c r="Q91" s="160"/>
      <c r="R91" s="195"/>
      <c r="S91" s="161"/>
      <c r="T91" s="3"/>
      <c r="U91" s="3"/>
      <c r="V91" s="3"/>
    </row>
    <row r="92" spans="1:22" x14ac:dyDescent="0.25">
      <c r="A92" s="234">
        <v>5500</v>
      </c>
      <c r="B92" s="162" t="s">
        <v>162</v>
      </c>
      <c r="C92" s="165"/>
      <c r="D92" s="158"/>
      <c r="E92" s="158">
        <v>11.94</v>
      </c>
      <c r="F92" s="99"/>
      <c r="G92" s="99"/>
      <c r="H92" s="99"/>
      <c r="I92" s="99"/>
      <c r="J92" s="99"/>
      <c r="K92" s="99"/>
      <c r="L92" s="99"/>
      <c r="M92" s="159">
        <f t="shared" si="13"/>
        <v>150</v>
      </c>
      <c r="N92" s="178">
        <f t="shared" si="14"/>
        <v>200</v>
      </c>
      <c r="O92" s="179">
        <f t="shared" si="10"/>
        <v>50</v>
      </c>
      <c r="P92" s="166">
        <f t="shared" si="11"/>
        <v>0.33329999999999999</v>
      </c>
      <c r="Q92" s="160" t="s">
        <v>297</v>
      </c>
      <c r="R92" s="195"/>
      <c r="S92" s="161"/>
      <c r="T92" s="3"/>
      <c r="U92" s="3"/>
      <c r="V92" s="3"/>
    </row>
    <row r="93" spans="1:22" x14ac:dyDescent="0.25">
      <c r="A93" s="234">
        <v>5530</v>
      </c>
      <c r="B93" s="162" t="s">
        <v>163</v>
      </c>
      <c r="C93" s="165">
        <v>43029.4</v>
      </c>
      <c r="D93" s="158">
        <v>45445.69</v>
      </c>
      <c r="E93" s="158">
        <v>36322.94</v>
      </c>
      <c r="F93" s="99"/>
      <c r="G93" s="99"/>
      <c r="H93" s="99"/>
      <c r="I93" s="99"/>
      <c r="J93" s="99"/>
      <c r="K93" s="99"/>
      <c r="L93" s="99"/>
      <c r="M93" s="159">
        <f t="shared" si="13"/>
        <v>71500</v>
      </c>
      <c r="N93" s="178">
        <f t="shared" si="14"/>
        <v>71500</v>
      </c>
      <c r="O93" s="179">
        <f t="shared" si="10"/>
        <v>0</v>
      </c>
      <c r="P93" s="166" t="str">
        <f t="shared" si="11"/>
        <v/>
      </c>
      <c r="Q93" s="170" t="s">
        <v>302</v>
      </c>
      <c r="R93" s="195"/>
      <c r="S93" s="161"/>
      <c r="T93" s="3"/>
      <c r="U93" s="3"/>
      <c r="V93" s="3"/>
    </row>
    <row r="94" spans="1:22" hidden="1" x14ac:dyDescent="0.25">
      <c r="A94" s="234">
        <v>5534</v>
      </c>
      <c r="B94" s="162" t="s">
        <v>164</v>
      </c>
      <c r="C94" s="165">
        <v>125</v>
      </c>
      <c r="D94" s="158"/>
      <c r="E94" s="158"/>
      <c r="F94" s="99"/>
      <c r="G94" s="99"/>
      <c r="H94" s="99"/>
      <c r="I94" s="99"/>
      <c r="J94" s="99"/>
      <c r="K94" s="99"/>
      <c r="L94" s="99"/>
      <c r="M94" s="159">
        <f t="shared" si="13"/>
        <v>0</v>
      </c>
      <c r="N94" s="178">
        <f t="shared" si="14"/>
        <v>0</v>
      </c>
      <c r="O94" s="179">
        <f t="shared" si="10"/>
        <v>0</v>
      </c>
      <c r="P94" s="166" t="str">
        <f t="shared" si="11"/>
        <v/>
      </c>
      <c r="Q94" s="160"/>
      <c r="R94" s="195"/>
      <c r="S94" s="161"/>
      <c r="T94" s="3"/>
      <c r="U94" s="3"/>
      <c r="V94" s="3"/>
    </row>
    <row r="95" spans="1:22" hidden="1" x14ac:dyDescent="0.25">
      <c r="A95" s="234">
        <v>5580</v>
      </c>
      <c r="B95" s="162" t="s">
        <v>44</v>
      </c>
      <c r="C95" s="165"/>
      <c r="D95" s="158"/>
      <c r="E95" s="158"/>
      <c r="F95" s="99"/>
      <c r="G95" s="99"/>
      <c r="H95" s="99"/>
      <c r="I95" s="99"/>
      <c r="J95" s="99"/>
      <c r="K95" s="99"/>
      <c r="L95" s="99"/>
      <c r="M95" s="159">
        <f t="shared" si="13"/>
        <v>0</v>
      </c>
      <c r="N95" s="178">
        <f t="shared" si="14"/>
        <v>0</v>
      </c>
      <c r="O95" s="179">
        <f t="shared" si="10"/>
        <v>0</v>
      </c>
      <c r="P95" s="166"/>
      <c r="Q95" s="160"/>
      <c r="R95" s="195"/>
      <c r="S95" s="161"/>
      <c r="T95" s="3"/>
      <c r="U95" s="3"/>
      <c r="V95" s="3"/>
    </row>
    <row r="96" spans="1:22" x14ac:dyDescent="0.25">
      <c r="A96" s="234">
        <v>5582</v>
      </c>
      <c r="B96" s="162" t="s">
        <v>131</v>
      </c>
      <c r="C96" s="165">
        <v>2596.34</v>
      </c>
      <c r="D96" s="158">
        <v>2080.9699999999998</v>
      </c>
      <c r="E96" s="158">
        <v>3880.7</v>
      </c>
      <c r="F96" s="99"/>
      <c r="G96" s="99"/>
      <c r="H96" s="99"/>
      <c r="I96" s="99"/>
      <c r="J96" s="99"/>
      <c r="K96" s="99"/>
      <c r="L96" s="99"/>
      <c r="M96" s="159">
        <f t="shared" si="13"/>
        <v>15500</v>
      </c>
      <c r="N96" s="178">
        <f t="shared" si="14"/>
        <v>15500</v>
      </c>
      <c r="O96" s="179">
        <f t="shared" si="10"/>
        <v>0</v>
      </c>
      <c r="P96" s="166" t="str">
        <f t="shared" ref="P96:P101" si="15">IF(M96+N96&lt;&gt;0,IF(M96&lt;&gt;0,IF(O96&lt;&gt;0,ROUND((+O96/M96),4),""),1),"")</f>
        <v/>
      </c>
      <c r="Q96" s="160"/>
      <c r="R96" s="195"/>
      <c r="S96" s="161"/>
      <c r="T96" s="3"/>
      <c r="U96" s="3"/>
      <c r="V96" s="3"/>
    </row>
    <row r="97" spans="1:22" x14ac:dyDescent="0.25">
      <c r="A97" s="234">
        <v>5588</v>
      </c>
      <c r="B97" s="180" t="s">
        <v>165</v>
      </c>
      <c r="C97" s="165"/>
      <c r="D97" s="158"/>
      <c r="E97" s="158"/>
      <c r="F97" s="99"/>
      <c r="G97" s="99"/>
      <c r="H97" s="99"/>
      <c r="I97" s="99"/>
      <c r="J97" s="99"/>
      <c r="K97" s="99"/>
      <c r="L97" s="99"/>
      <c r="M97" s="159">
        <f t="shared" si="13"/>
        <v>500</v>
      </c>
      <c r="N97" s="178">
        <f t="shared" si="14"/>
        <v>500</v>
      </c>
      <c r="O97" s="179">
        <f t="shared" si="10"/>
        <v>0</v>
      </c>
      <c r="P97" s="166" t="str">
        <f t="shared" si="15"/>
        <v/>
      </c>
      <c r="Q97" s="160"/>
      <c r="R97" s="195"/>
      <c r="S97" s="161"/>
      <c r="T97" s="3"/>
      <c r="U97" s="3"/>
      <c r="V97" s="3"/>
    </row>
    <row r="98" spans="1:22" x14ac:dyDescent="0.25">
      <c r="A98" s="234">
        <v>5710</v>
      </c>
      <c r="B98" s="162" t="s">
        <v>45</v>
      </c>
      <c r="C98" s="169">
        <v>44.78</v>
      </c>
      <c r="D98" s="158">
        <v>22.6</v>
      </c>
      <c r="E98" s="158"/>
      <c r="F98" s="99"/>
      <c r="G98" s="99"/>
      <c r="H98" s="99"/>
      <c r="I98" s="99"/>
      <c r="J98" s="99"/>
      <c r="K98" s="99"/>
      <c r="L98" s="99"/>
      <c r="M98" s="159">
        <f t="shared" si="13"/>
        <v>125</v>
      </c>
      <c r="N98" s="178">
        <f t="shared" si="14"/>
        <v>125</v>
      </c>
      <c r="O98" s="179">
        <f t="shared" si="10"/>
        <v>0</v>
      </c>
      <c r="P98" s="166" t="str">
        <f t="shared" si="15"/>
        <v/>
      </c>
      <c r="Q98" s="160"/>
      <c r="R98" s="195"/>
      <c r="S98" s="161"/>
      <c r="T98" s="3"/>
      <c r="U98" s="3"/>
      <c r="V98" s="3"/>
    </row>
    <row r="99" spans="1:22" x14ac:dyDescent="0.25">
      <c r="A99" s="234">
        <v>5730</v>
      </c>
      <c r="B99" s="162" t="s">
        <v>46</v>
      </c>
      <c r="C99" s="167">
        <v>361</v>
      </c>
      <c r="D99" s="158">
        <v>233</v>
      </c>
      <c r="E99" s="158">
        <v>381</v>
      </c>
      <c r="F99" s="99"/>
      <c r="G99" s="99"/>
      <c r="H99" s="99"/>
      <c r="I99" s="99"/>
      <c r="J99" s="99"/>
      <c r="K99" s="99"/>
      <c r="L99" s="99"/>
      <c r="M99" s="159">
        <f t="shared" si="13"/>
        <v>500</v>
      </c>
      <c r="N99" s="178">
        <f t="shared" si="14"/>
        <v>500</v>
      </c>
      <c r="O99" s="179">
        <f t="shared" si="10"/>
        <v>0</v>
      </c>
      <c r="P99" s="166" t="str">
        <f t="shared" si="15"/>
        <v/>
      </c>
      <c r="Q99" s="160"/>
      <c r="R99" s="195"/>
      <c r="S99" s="161"/>
      <c r="T99" s="3"/>
      <c r="U99" s="3"/>
      <c r="V99" s="3"/>
    </row>
    <row r="100" spans="1:22" ht="13.8" thickBot="1" x14ac:dyDescent="0.3">
      <c r="A100" s="239">
        <v>5783</v>
      </c>
      <c r="B100" s="180" t="s">
        <v>167</v>
      </c>
      <c r="C100" s="163">
        <v>780</v>
      </c>
      <c r="D100" s="163">
        <v>1710</v>
      </c>
      <c r="E100" s="163">
        <v>1440</v>
      </c>
      <c r="F100" s="99"/>
      <c r="G100" s="99"/>
      <c r="H100" s="99"/>
      <c r="I100" s="99"/>
      <c r="J100" s="99"/>
      <c r="K100" s="99"/>
      <c r="L100" s="99"/>
      <c r="M100" s="159">
        <f>+O49</f>
        <v>1500</v>
      </c>
      <c r="N100" s="178">
        <f>+Q49</f>
        <v>1500</v>
      </c>
      <c r="O100" s="179">
        <f t="shared" si="10"/>
        <v>0</v>
      </c>
      <c r="P100" s="166" t="str">
        <f t="shared" si="15"/>
        <v/>
      </c>
      <c r="Q100" s="160"/>
      <c r="R100" s="195"/>
      <c r="S100" s="161"/>
      <c r="T100" s="3"/>
      <c r="U100" s="3"/>
      <c r="V100" s="3"/>
    </row>
    <row r="101" spans="1:22" ht="13.8" thickBot="1" x14ac:dyDescent="0.3">
      <c r="A101" s="239">
        <v>5800</v>
      </c>
      <c r="B101" s="180" t="s">
        <v>210</v>
      </c>
      <c r="C101" s="163">
        <v>780</v>
      </c>
      <c r="D101" s="163">
        <v>1710</v>
      </c>
      <c r="E101" s="163">
        <v>1440</v>
      </c>
      <c r="F101" s="99"/>
      <c r="G101" s="99"/>
      <c r="H101" s="99"/>
      <c r="I101" s="99"/>
      <c r="J101" s="99"/>
      <c r="K101" s="99"/>
      <c r="L101" s="99"/>
      <c r="M101" s="159">
        <f>+O52</f>
        <v>0</v>
      </c>
      <c r="N101" s="178">
        <f>+Q52</f>
        <v>0</v>
      </c>
      <c r="O101" s="179">
        <f t="shared" si="10"/>
        <v>0</v>
      </c>
      <c r="P101" s="166" t="str">
        <f t="shared" si="15"/>
        <v/>
      </c>
      <c r="Q101" s="160"/>
      <c r="R101" s="195"/>
      <c r="S101" s="161"/>
      <c r="T101" s="3"/>
      <c r="U101" s="3"/>
      <c r="V101" s="3"/>
    </row>
    <row r="102" spans="1:22" x14ac:dyDescent="0.25">
      <c r="A102" s="219"/>
      <c r="B102" s="3"/>
      <c r="C102" s="18"/>
      <c r="D102" s="18"/>
      <c r="E102" s="18"/>
      <c r="F102" s="18"/>
      <c r="G102" s="18"/>
      <c r="H102" s="99"/>
      <c r="I102" s="99"/>
      <c r="J102" s="99"/>
      <c r="K102" s="99"/>
      <c r="L102" s="99"/>
      <c r="M102" s="18"/>
      <c r="N102" s="18"/>
      <c r="O102" s="18"/>
      <c r="P102" s="3"/>
      <c r="Q102" s="18"/>
      <c r="R102" s="18"/>
      <c r="S102" s="18"/>
      <c r="T102" s="3"/>
      <c r="U102" s="3"/>
      <c r="V102" s="3"/>
    </row>
    <row r="103" spans="1:22" x14ac:dyDescent="0.25">
      <c r="A103" s="219"/>
      <c r="B103" s="3" t="s">
        <v>39</v>
      </c>
      <c r="C103" s="18"/>
      <c r="D103" s="18"/>
      <c r="E103" s="18"/>
      <c r="F103" s="18"/>
      <c r="G103" s="18"/>
      <c r="H103" s="99"/>
      <c r="I103" s="99"/>
      <c r="J103" s="99"/>
      <c r="K103" s="99"/>
      <c r="L103" s="99"/>
      <c r="M103" s="209">
        <f>SUM(M63:M101)</f>
        <v>1203980</v>
      </c>
      <c r="N103" s="209">
        <f>SUM(N63:N101)</f>
        <v>1301796</v>
      </c>
      <c r="O103" s="20">
        <f>+N103-M103</f>
        <v>97816</v>
      </c>
      <c r="P103" s="210">
        <f>IF(M103+N103&lt;&gt;0,IF(M103&lt;&gt;0,IF(O103&lt;&gt;0,ROUND((+O103/M103),4),""),1),"")</f>
        <v>8.1199999999999994E-2</v>
      </c>
      <c r="Q103" s="18"/>
      <c r="R103" s="18"/>
      <c r="S103" s="18"/>
      <c r="T103" s="3"/>
      <c r="U103" s="3"/>
      <c r="V103" s="3"/>
    </row>
    <row r="104" spans="1:22" x14ac:dyDescent="0.25">
      <c r="A104" s="219"/>
      <c r="B104" s="3"/>
      <c r="C104" s="18"/>
      <c r="D104" s="18"/>
      <c r="E104" s="18"/>
      <c r="F104" s="18"/>
      <c r="G104" s="18"/>
      <c r="H104" s="18"/>
      <c r="I104" s="18"/>
      <c r="J104" s="18"/>
      <c r="K104" s="18"/>
      <c r="L104" s="18"/>
      <c r="M104" s="18"/>
      <c r="N104" s="18"/>
      <c r="O104" s="18"/>
      <c r="P104" s="3"/>
      <c r="Q104" s="18"/>
      <c r="R104" s="18"/>
      <c r="S104" s="18"/>
      <c r="T104" s="3"/>
      <c r="U104" s="3"/>
      <c r="V104" s="3"/>
    </row>
    <row r="105" spans="1:22" x14ac:dyDescent="0.25">
      <c r="A105" s="219"/>
      <c r="B105" s="3"/>
      <c r="C105" s="18"/>
      <c r="D105" s="18"/>
      <c r="E105" s="18"/>
      <c r="F105" s="18"/>
      <c r="G105" s="18"/>
      <c r="H105" s="18"/>
      <c r="I105" s="18"/>
      <c r="J105" s="18"/>
      <c r="K105" s="18"/>
      <c r="L105" s="18"/>
      <c r="M105" s="18"/>
      <c r="N105" s="18"/>
      <c r="O105" s="18"/>
      <c r="P105" s="3"/>
      <c r="Q105" s="18"/>
      <c r="R105" s="18"/>
      <c r="S105" s="18"/>
      <c r="T105" s="3"/>
      <c r="U105" s="3"/>
      <c r="V105" s="3"/>
    </row>
    <row r="106" spans="1:22" x14ac:dyDescent="0.25">
      <c r="A106" s="219"/>
      <c r="B106" s="3"/>
      <c r="C106" s="18"/>
      <c r="D106" s="18"/>
      <c r="E106" s="18"/>
      <c r="F106" s="18"/>
      <c r="G106" s="18"/>
      <c r="H106" s="18"/>
      <c r="I106" s="18"/>
      <c r="J106" s="18"/>
      <c r="K106" s="18"/>
      <c r="L106" s="18"/>
      <c r="M106" s="18"/>
      <c r="N106" s="18"/>
      <c r="O106" s="18"/>
      <c r="P106" s="3"/>
      <c r="Q106" s="18"/>
      <c r="R106" s="18"/>
      <c r="S106" s="18"/>
      <c r="T106" s="3"/>
      <c r="U106" s="3"/>
      <c r="V106" s="3"/>
    </row>
    <row r="107" spans="1:22" x14ac:dyDescent="0.25">
      <c r="A107" s="219"/>
      <c r="B107" s="3"/>
      <c r="C107" s="18"/>
      <c r="D107" s="18"/>
      <c r="E107" s="18"/>
      <c r="F107" s="18"/>
      <c r="G107" s="18"/>
      <c r="H107" s="18"/>
      <c r="I107" s="18"/>
      <c r="J107" s="18"/>
      <c r="K107" s="18"/>
      <c r="L107" s="18"/>
      <c r="M107" s="18"/>
      <c r="N107" s="18"/>
      <c r="O107" s="18"/>
      <c r="P107" s="3"/>
      <c r="Q107" s="18"/>
      <c r="R107" s="18"/>
      <c r="S107" s="18"/>
      <c r="T107" s="3"/>
      <c r="U107" s="3"/>
      <c r="V107" s="3"/>
    </row>
    <row r="108" spans="1:22" x14ac:dyDescent="0.25">
      <c r="A108" s="219"/>
      <c r="B108" s="3"/>
      <c r="C108" s="18"/>
      <c r="D108" s="18"/>
      <c r="E108" s="18"/>
      <c r="F108" s="18"/>
      <c r="G108" s="18"/>
      <c r="H108" s="18"/>
      <c r="I108" s="18"/>
      <c r="J108" s="18"/>
      <c r="K108" s="18"/>
      <c r="L108" s="18"/>
      <c r="M108" s="18"/>
      <c r="N108" s="18"/>
      <c r="O108" s="18"/>
      <c r="P108" s="3"/>
      <c r="Q108" s="18"/>
      <c r="R108" s="18"/>
      <c r="S108" s="18"/>
      <c r="T108" s="3"/>
      <c r="U108" s="3"/>
      <c r="V108" s="3"/>
    </row>
    <row r="109" spans="1:22" x14ac:dyDescent="0.25">
      <c r="A109" s="219"/>
      <c r="B109" s="3"/>
      <c r="C109" s="18"/>
      <c r="D109" s="18"/>
      <c r="E109" s="18"/>
      <c r="F109" s="18"/>
      <c r="G109" s="18"/>
      <c r="H109" s="18"/>
      <c r="I109" s="18"/>
      <c r="J109" s="18"/>
      <c r="K109" s="18"/>
      <c r="L109" s="18"/>
      <c r="M109" s="18"/>
      <c r="N109" s="18"/>
      <c r="O109" s="18"/>
      <c r="P109" s="3"/>
      <c r="Q109" s="18"/>
      <c r="R109" s="18"/>
      <c r="S109" s="18"/>
      <c r="T109" s="3"/>
      <c r="U109" s="3"/>
      <c r="V109" s="3"/>
    </row>
    <row r="110" spans="1:22" x14ac:dyDescent="0.25">
      <c r="A110" s="219"/>
      <c r="B110" s="3"/>
      <c r="C110" s="18"/>
      <c r="D110" s="18"/>
      <c r="E110" s="18"/>
      <c r="F110" s="18"/>
      <c r="G110" s="18"/>
      <c r="H110" s="18"/>
      <c r="I110" s="18"/>
      <c r="J110" s="18"/>
      <c r="K110" s="18"/>
      <c r="L110" s="18"/>
      <c r="M110" s="18"/>
      <c r="N110" s="18"/>
      <c r="O110" s="18"/>
      <c r="P110" s="3"/>
      <c r="Q110" s="18"/>
      <c r="R110" s="18"/>
      <c r="S110" s="18"/>
      <c r="T110" s="3"/>
      <c r="U110" s="3"/>
      <c r="V110" s="3"/>
    </row>
    <row r="111" spans="1:22" x14ac:dyDescent="0.25">
      <c r="A111" s="219"/>
      <c r="B111" s="3"/>
      <c r="C111" s="18"/>
      <c r="D111" s="18"/>
      <c r="E111" s="18"/>
      <c r="F111" s="18"/>
      <c r="G111" s="18"/>
      <c r="H111" s="18"/>
      <c r="I111" s="18"/>
      <c r="J111" s="18"/>
      <c r="K111" s="18"/>
      <c r="L111" s="18"/>
      <c r="M111" s="18"/>
      <c r="N111" s="18"/>
      <c r="O111" s="18"/>
      <c r="P111" s="3"/>
      <c r="Q111" s="18"/>
      <c r="R111" s="18"/>
      <c r="S111" s="18"/>
      <c r="T111" s="3"/>
      <c r="U111" s="3"/>
      <c r="V111" s="3"/>
    </row>
    <row r="112" spans="1:22" x14ac:dyDescent="0.25">
      <c r="A112" s="219"/>
      <c r="B112" s="3"/>
      <c r="C112" s="18"/>
      <c r="D112" s="18"/>
      <c r="E112" s="18"/>
      <c r="F112" s="18"/>
      <c r="G112" s="18"/>
      <c r="H112" s="18"/>
      <c r="I112" s="18"/>
      <c r="J112" s="18"/>
      <c r="K112" s="18"/>
      <c r="L112" s="18"/>
      <c r="M112" s="18"/>
      <c r="N112" s="18"/>
      <c r="O112" s="18"/>
      <c r="P112" s="3"/>
      <c r="Q112" s="18"/>
      <c r="R112" s="18"/>
      <c r="S112" s="18"/>
      <c r="T112" s="3"/>
      <c r="U112" s="3"/>
      <c r="V112" s="3"/>
    </row>
    <row r="113" spans="1:22" x14ac:dyDescent="0.25">
      <c r="A113" s="219"/>
      <c r="B113" s="3"/>
      <c r="C113" s="18"/>
      <c r="D113" s="18"/>
      <c r="E113" s="18"/>
      <c r="F113" s="18"/>
      <c r="G113" s="18"/>
      <c r="H113" s="18"/>
      <c r="I113" s="18"/>
      <c r="J113" s="18"/>
      <c r="K113" s="18"/>
      <c r="L113" s="18"/>
      <c r="M113" s="18"/>
      <c r="N113" s="18"/>
      <c r="O113" s="18"/>
      <c r="P113" s="3"/>
      <c r="Q113" s="18"/>
      <c r="R113" s="18"/>
      <c r="S113" s="18"/>
      <c r="T113" s="3"/>
      <c r="U113" s="3"/>
      <c r="V113" s="3"/>
    </row>
    <row r="114" spans="1:22" x14ac:dyDescent="0.25">
      <c r="A114" s="219"/>
      <c r="B114" s="3"/>
      <c r="C114" s="18"/>
      <c r="D114" s="18"/>
      <c r="E114" s="18"/>
      <c r="F114" s="18"/>
      <c r="G114" s="18"/>
      <c r="H114" s="18"/>
      <c r="I114" s="18"/>
      <c r="J114" s="18"/>
      <c r="K114" s="18"/>
      <c r="L114" s="18"/>
      <c r="M114" s="18"/>
      <c r="N114" s="18"/>
      <c r="O114" s="18"/>
      <c r="P114" s="3"/>
      <c r="Q114" s="18"/>
      <c r="R114" s="18"/>
      <c r="S114" s="18"/>
      <c r="T114" s="3"/>
      <c r="U114" s="3"/>
      <c r="V114" s="3"/>
    </row>
    <row r="115" spans="1:22" x14ac:dyDescent="0.25">
      <c r="A115" s="219"/>
      <c r="B115" s="3"/>
      <c r="C115" s="18"/>
      <c r="D115" s="18"/>
      <c r="E115" s="18"/>
      <c r="F115" s="18"/>
      <c r="G115" s="18"/>
      <c r="H115" s="18"/>
      <c r="I115" s="18"/>
      <c r="J115" s="18"/>
      <c r="K115" s="18"/>
      <c r="L115" s="18"/>
      <c r="M115" s="18"/>
      <c r="N115" s="18"/>
      <c r="O115" s="18"/>
      <c r="P115" s="3"/>
      <c r="Q115" s="18"/>
      <c r="R115" s="18"/>
      <c r="S115" s="18"/>
      <c r="T115" s="3"/>
      <c r="U115" s="3"/>
      <c r="V115" s="3"/>
    </row>
    <row r="116" spans="1:22" x14ac:dyDescent="0.25">
      <c r="A116" s="219"/>
      <c r="B116" s="3"/>
      <c r="C116" s="18"/>
      <c r="D116" s="18"/>
      <c r="E116" s="18"/>
      <c r="F116" s="18"/>
      <c r="G116" s="18"/>
      <c r="H116" s="18"/>
      <c r="I116" s="18"/>
      <c r="J116" s="18"/>
      <c r="K116" s="18"/>
      <c r="L116" s="18"/>
      <c r="M116" s="18"/>
      <c r="N116" s="18"/>
      <c r="O116" s="18"/>
      <c r="P116" s="3"/>
      <c r="Q116" s="18"/>
      <c r="R116" s="18"/>
      <c r="S116" s="18"/>
      <c r="T116" s="3"/>
      <c r="U116" s="3"/>
      <c r="V116" s="3"/>
    </row>
    <row r="117" spans="1:22" x14ac:dyDescent="0.25">
      <c r="A117" s="219"/>
      <c r="B117" s="3"/>
      <c r="C117" s="18"/>
      <c r="D117" s="18"/>
      <c r="E117" s="18"/>
      <c r="F117" s="18"/>
      <c r="G117" s="18"/>
      <c r="H117" s="18"/>
      <c r="I117" s="18"/>
      <c r="J117" s="18"/>
      <c r="K117" s="18"/>
      <c r="L117" s="18"/>
      <c r="M117" s="18"/>
      <c r="N117" s="18"/>
      <c r="O117" s="18"/>
      <c r="P117" s="3"/>
      <c r="Q117" s="18"/>
      <c r="R117" s="18"/>
      <c r="S117" s="18"/>
      <c r="T117" s="3"/>
      <c r="U117" s="3"/>
      <c r="V117" s="3"/>
    </row>
    <row r="118" spans="1:22" x14ac:dyDescent="0.25">
      <c r="A118" s="219"/>
      <c r="B118" s="3"/>
      <c r="C118" s="18"/>
      <c r="D118" s="18"/>
      <c r="E118" s="18"/>
      <c r="F118" s="18"/>
      <c r="G118" s="18"/>
      <c r="H118" s="18"/>
      <c r="I118" s="18"/>
      <c r="J118" s="18"/>
      <c r="K118" s="18"/>
      <c r="L118" s="18"/>
      <c r="M118" s="18"/>
      <c r="N118" s="18"/>
      <c r="O118" s="18"/>
      <c r="P118" s="3"/>
      <c r="Q118" s="18"/>
      <c r="R118" s="18"/>
      <c r="S118" s="18"/>
      <c r="T118" s="3"/>
      <c r="U118" s="3"/>
      <c r="V118" s="3"/>
    </row>
    <row r="119" spans="1:22" x14ac:dyDescent="0.25">
      <c r="A119" s="219"/>
      <c r="B119" s="3"/>
      <c r="C119" s="18"/>
      <c r="D119" s="18"/>
      <c r="E119" s="18"/>
      <c r="F119" s="18"/>
      <c r="G119" s="18"/>
      <c r="H119" s="18"/>
      <c r="I119" s="18"/>
      <c r="J119" s="18"/>
      <c r="K119" s="18"/>
      <c r="L119" s="18"/>
      <c r="M119" s="18"/>
      <c r="N119" s="18"/>
      <c r="O119" s="18"/>
      <c r="P119" s="3"/>
      <c r="Q119" s="18"/>
      <c r="R119" s="18"/>
      <c r="S119" s="18"/>
      <c r="T119" s="3"/>
      <c r="U119" s="3"/>
      <c r="V119" s="3"/>
    </row>
    <row r="120" spans="1:22" x14ac:dyDescent="0.25">
      <c r="A120" s="219"/>
      <c r="B120" s="3"/>
      <c r="C120" s="18"/>
      <c r="D120" s="18"/>
      <c r="E120" s="18"/>
      <c r="F120" s="18"/>
      <c r="G120" s="18"/>
      <c r="H120" s="18"/>
      <c r="I120" s="18"/>
      <c r="J120" s="18"/>
      <c r="K120" s="18"/>
      <c r="L120" s="18"/>
      <c r="M120" s="18"/>
      <c r="N120" s="18"/>
      <c r="O120" s="18"/>
      <c r="P120" s="3"/>
      <c r="Q120" s="18"/>
      <c r="R120" s="18"/>
      <c r="S120" s="18"/>
      <c r="T120" s="3"/>
      <c r="U120" s="3"/>
      <c r="V120" s="3"/>
    </row>
    <row r="121" spans="1:22" x14ac:dyDescent="0.25">
      <c r="A121" s="219"/>
      <c r="B121" s="3"/>
      <c r="C121" s="18"/>
      <c r="D121" s="18"/>
      <c r="E121" s="18"/>
      <c r="F121" s="18"/>
      <c r="G121" s="18"/>
      <c r="H121" s="18"/>
      <c r="I121" s="18"/>
      <c r="J121" s="18"/>
      <c r="K121" s="18"/>
      <c r="L121" s="18"/>
      <c r="M121" s="18"/>
      <c r="N121" s="18"/>
      <c r="O121" s="18"/>
      <c r="P121" s="3"/>
      <c r="Q121" s="18"/>
      <c r="R121" s="18"/>
      <c r="S121" s="18"/>
      <c r="T121" s="3"/>
      <c r="U121" s="3"/>
      <c r="V121" s="3"/>
    </row>
    <row r="122" spans="1:22" x14ac:dyDescent="0.25">
      <c r="A122" s="219"/>
      <c r="B122" s="3"/>
      <c r="C122" s="18"/>
      <c r="D122" s="18"/>
      <c r="E122" s="18"/>
      <c r="F122" s="18"/>
      <c r="G122" s="18"/>
      <c r="H122" s="18"/>
      <c r="I122" s="18"/>
      <c r="J122" s="18"/>
      <c r="K122" s="18"/>
      <c r="L122" s="18"/>
      <c r="M122" s="18"/>
      <c r="N122" s="18"/>
      <c r="O122" s="18"/>
      <c r="P122" s="3"/>
      <c r="Q122" s="18"/>
      <c r="R122" s="18"/>
      <c r="S122" s="18"/>
      <c r="T122" s="3"/>
      <c r="U122" s="3"/>
      <c r="V122" s="3"/>
    </row>
    <row r="123" spans="1:22" x14ac:dyDescent="0.25">
      <c r="A123" s="219"/>
      <c r="B123" s="3"/>
      <c r="C123" s="18"/>
      <c r="D123" s="18"/>
      <c r="E123" s="18"/>
      <c r="F123" s="18"/>
      <c r="G123" s="18"/>
      <c r="H123" s="18"/>
      <c r="I123" s="18"/>
      <c r="J123" s="18"/>
      <c r="K123" s="18"/>
      <c r="L123" s="18"/>
      <c r="M123" s="18"/>
      <c r="N123" s="18"/>
      <c r="O123" s="18"/>
      <c r="P123" s="3"/>
      <c r="Q123" s="18"/>
      <c r="R123" s="18"/>
      <c r="S123" s="18"/>
      <c r="T123" s="3"/>
      <c r="U123" s="3"/>
      <c r="V123" s="3"/>
    </row>
    <row r="124" spans="1:22" x14ac:dyDescent="0.25">
      <c r="A124" s="219"/>
      <c r="B124" s="3"/>
      <c r="C124" s="18"/>
      <c r="D124" s="18"/>
      <c r="E124" s="18"/>
      <c r="F124" s="18"/>
      <c r="G124" s="18"/>
      <c r="H124" s="18"/>
      <c r="I124" s="18"/>
      <c r="J124" s="18"/>
      <c r="K124" s="18"/>
      <c r="L124" s="18"/>
      <c r="M124" s="18"/>
      <c r="N124" s="18"/>
      <c r="O124" s="18"/>
      <c r="P124" s="3"/>
      <c r="Q124" s="18"/>
      <c r="R124" s="18"/>
      <c r="S124" s="18"/>
      <c r="T124" s="3"/>
      <c r="U124" s="3"/>
      <c r="V124" s="3"/>
    </row>
    <row r="125" spans="1:22" x14ac:dyDescent="0.25">
      <c r="A125" s="219"/>
      <c r="B125" s="3"/>
      <c r="C125" s="18"/>
      <c r="D125" s="18"/>
      <c r="E125" s="18"/>
      <c r="F125" s="18"/>
      <c r="G125" s="18"/>
      <c r="H125" s="18"/>
      <c r="I125" s="18"/>
      <c r="J125" s="18"/>
      <c r="K125" s="18"/>
      <c r="L125" s="18"/>
      <c r="M125" s="18"/>
      <c r="N125" s="18"/>
      <c r="O125" s="18"/>
      <c r="P125" s="3"/>
      <c r="Q125" s="18"/>
      <c r="R125" s="18"/>
      <c r="S125" s="18"/>
      <c r="T125" s="3"/>
      <c r="U125" s="3"/>
      <c r="V125" s="3"/>
    </row>
    <row r="126" spans="1:22" x14ac:dyDescent="0.25">
      <c r="A126" s="219"/>
      <c r="B126" s="3"/>
      <c r="C126" s="18"/>
      <c r="D126" s="18"/>
      <c r="E126" s="18"/>
      <c r="F126" s="18"/>
      <c r="G126" s="18"/>
      <c r="H126" s="18"/>
      <c r="I126" s="18"/>
      <c r="J126" s="18"/>
      <c r="K126" s="18"/>
      <c r="L126" s="18"/>
      <c r="M126" s="18"/>
      <c r="N126" s="18"/>
      <c r="O126" s="18"/>
      <c r="P126" s="3"/>
      <c r="Q126" s="18"/>
      <c r="R126" s="18"/>
      <c r="S126" s="18"/>
      <c r="T126" s="3"/>
      <c r="U126" s="3"/>
      <c r="V126" s="3"/>
    </row>
    <row r="127" spans="1:22" x14ac:dyDescent="0.25">
      <c r="A127" s="219"/>
      <c r="B127" s="3"/>
      <c r="C127" s="18"/>
      <c r="D127" s="18"/>
      <c r="E127" s="18"/>
      <c r="F127" s="18"/>
      <c r="G127" s="18"/>
      <c r="H127" s="18"/>
      <c r="I127" s="18"/>
      <c r="J127" s="18"/>
      <c r="K127" s="18"/>
      <c r="L127" s="18"/>
      <c r="M127" s="18"/>
      <c r="N127" s="18"/>
      <c r="O127" s="18"/>
      <c r="P127" s="3"/>
      <c r="Q127" s="18"/>
      <c r="R127" s="18"/>
      <c r="S127" s="18"/>
      <c r="T127" s="3"/>
      <c r="U127" s="3"/>
      <c r="V127" s="3"/>
    </row>
    <row r="128" spans="1:22" x14ac:dyDescent="0.25">
      <c r="A128" s="219"/>
      <c r="B128" s="3"/>
      <c r="C128" s="18"/>
      <c r="D128" s="18"/>
      <c r="E128" s="18"/>
      <c r="F128" s="18"/>
      <c r="G128" s="18"/>
      <c r="H128" s="18"/>
      <c r="I128" s="18"/>
      <c r="J128" s="18"/>
      <c r="K128" s="18"/>
      <c r="L128" s="18"/>
      <c r="M128" s="18"/>
      <c r="N128" s="18"/>
      <c r="O128" s="18"/>
      <c r="P128" s="3"/>
      <c r="Q128" s="18"/>
      <c r="R128" s="18"/>
      <c r="S128" s="18"/>
      <c r="T128" s="3"/>
      <c r="U128" s="3"/>
      <c r="V128" s="3"/>
    </row>
    <row r="129" spans="1:22" x14ac:dyDescent="0.25">
      <c r="A129" s="219"/>
      <c r="B129" s="3"/>
      <c r="C129" s="18"/>
      <c r="D129" s="18"/>
      <c r="E129" s="18"/>
      <c r="F129" s="18"/>
      <c r="G129" s="18"/>
      <c r="H129" s="18"/>
      <c r="I129" s="18"/>
      <c r="J129" s="18"/>
      <c r="K129" s="18"/>
      <c r="L129" s="18"/>
      <c r="M129" s="18"/>
      <c r="N129" s="18"/>
      <c r="O129" s="18"/>
      <c r="P129" s="3"/>
      <c r="Q129" s="18"/>
      <c r="R129" s="18"/>
      <c r="S129" s="18"/>
      <c r="T129" s="3"/>
      <c r="U129" s="3"/>
      <c r="V129" s="3"/>
    </row>
    <row r="130" spans="1:22" x14ac:dyDescent="0.25">
      <c r="A130" s="219"/>
      <c r="B130" s="3"/>
      <c r="C130" s="18"/>
      <c r="D130" s="18"/>
      <c r="E130" s="18"/>
      <c r="F130" s="18"/>
      <c r="G130" s="18"/>
      <c r="H130" s="18"/>
      <c r="I130" s="18"/>
      <c r="J130" s="18"/>
      <c r="K130" s="18"/>
      <c r="L130" s="18"/>
      <c r="M130" s="18"/>
      <c r="N130" s="18"/>
      <c r="O130" s="18"/>
      <c r="P130" s="3"/>
      <c r="Q130" s="18"/>
      <c r="R130" s="18"/>
      <c r="S130" s="18"/>
      <c r="T130" s="3"/>
      <c r="U130" s="3"/>
      <c r="V130" s="3"/>
    </row>
    <row r="131" spans="1:22" x14ac:dyDescent="0.25">
      <c r="A131" s="219"/>
      <c r="B131" s="3"/>
      <c r="C131" s="18"/>
      <c r="D131" s="18"/>
      <c r="E131" s="18"/>
      <c r="F131" s="18"/>
      <c r="G131" s="18"/>
      <c r="H131" s="18"/>
      <c r="I131" s="18"/>
      <c r="J131" s="18"/>
      <c r="K131" s="18"/>
      <c r="L131" s="18"/>
      <c r="M131" s="18"/>
      <c r="N131" s="18"/>
      <c r="O131" s="18"/>
      <c r="P131" s="3"/>
      <c r="Q131" s="18"/>
      <c r="R131" s="18"/>
      <c r="S131" s="18"/>
      <c r="T131" s="3"/>
      <c r="U131" s="3"/>
      <c r="V131" s="3"/>
    </row>
    <row r="132" spans="1:22" x14ac:dyDescent="0.25">
      <c r="C132" s="99"/>
      <c r="D132" s="99"/>
      <c r="E132" s="99"/>
      <c r="F132" s="99"/>
      <c r="G132" s="99"/>
      <c r="H132" s="99"/>
      <c r="I132" s="99"/>
      <c r="J132" s="99"/>
      <c r="K132" s="99"/>
      <c r="L132" s="99"/>
      <c r="M132" s="99"/>
      <c r="N132" s="99"/>
      <c r="O132" s="99"/>
    </row>
    <row r="133" spans="1:22" x14ac:dyDescent="0.25">
      <c r="C133" s="99"/>
      <c r="D133" s="99"/>
      <c r="E133" s="99"/>
      <c r="F133" s="99"/>
      <c r="G133" s="99"/>
      <c r="H133" s="99"/>
      <c r="I133" s="99"/>
      <c r="J133" s="99"/>
      <c r="K133" s="99"/>
      <c r="L133" s="99"/>
      <c r="M133" s="99"/>
      <c r="N133" s="99"/>
      <c r="O133" s="99"/>
    </row>
    <row r="134" spans="1:22" x14ac:dyDescent="0.25">
      <c r="C134" s="99"/>
      <c r="D134" s="99"/>
      <c r="E134" s="99"/>
      <c r="F134" s="99"/>
      <c r="G134" s="99"/>
      <c r="H134" s="99"/>
      <c r="I134" s="99"/>
      <c r="J134" s="99"/>
      <c r="K134" s="99"/>
      <c r="L134" s="99"/>
      <c r="M134" s="99"/>
      <c r="N134" s="99"/>
      <c r="O134" s="99"/>
    </row>
    <row r="135" spans="1:22" x14ac:dyDescent="0.25">
      <c r="C135" s="99"/>
      <c r="D135" s="99"/>
      <c r="E135" s="99"/>
      <c r="F135" s="99"/>
      <c r="G135" s="99"/>
      <c r="H135" s="99"/>
      <c r="I135" s="99"/>
      <c r="J135" s="99"/>
      <c r="K135" s="99"/>
      <c r="L135" s="99"/>
      <c r="M135" s="99"/>
      <c r="N135" s="99"/>
      <c r="O135" s="99"/>
    </row>
    <row r="136" spans="1:22" x14ac:dyDescent="0.25">
      <c r="C136" s="99"/>
      <c r="D136" s="99"/>
      <c r="E136" s="99"/>
      <c r="F136" s="99"/>
      <c r="G136" s="99"/>
      <c r="H136" s="99"/>
      <c r="I136" s="99"/>
      <c r="J136" s="99"/>
      <c r="K136" s="99"/>
      <c r="L136" s="99"/>
      <c r="M136" s="99"/>
      <c r="N136" s="99"/>
      <c r="O136" s="99"/>
    </row>
    <row r="137" spans="1:22" x14ac:dyDescent="0.25">
      <c r="C137" s="99"/>
      <c r="D137" s="99"/>
      <c r="E137" s="99"/>
      <c r="F137" s="99"/>
      <c r="G137" s="99"/>
      <c r="H137" s="99"/>
      <c r="I137" s="99"/>
      <c r="J137" s="99"/>
      <c r="K137" s="99"/>
      <c r="L137" s="99"/>
      <c r="M137" s="99"/>
      <c r="N137" s="99"/>
      <c r="O137" s="99"/>
    </row>
    <row r="138" spans="1:22" x14ac:dyDescent="0.25">
      <c r="C138" s="99"/>
      <c r="D138" s="99"/>
      <c r="E138" s="99"/>
      <c r="F138" s="99"/>
      <c r="G138" s="99"/>
      <c r="H138" s="99"/>
      <c r="I138" s="99"/>
      <c r="J138" s="99"/>
      <c r="K138" s="99"/>
      <c r="L138" s="99"/>
      <c r="M138" s="99"/>
      <c r="N138" s="99"/>
      <c r="O138" s="99"/>
    </row>
    <row r="139" spans="1:22" x14ac:dyDescent="0.25">
      <c r="C139" s="99"/>
      <c r="D139" s="99"/>
      <c r="E139" s="99"/>
      <c r="F139" s="99"/>
      <c r="G139" s="99"/>
      <c r="H139" s="99"/>
      <c r="I139" s="99"/>
      <c r="J139" s="99"/>
      <c r="K139" s="99"/>
      <c r="L139" s="99"/>
      <c r="M139" s="99"/>
      <c r="N139" s="99"/>
      <c r="O139" s="99"/>
    </row>
    <row r="140" spans="1:22" x14ac:dyDescent="0.25">
      <c r="C140" s="99"/>
      <c r="D140" s="99"/>
      <c r="E140" s="99"/>
      <c r="F140" s="99"/>
      <c r="G140" s="99"/>
      <c r="H140" s="99"/>
      <c r="I140" s="99"/>
      <c r="J140" s="99"/>
      <c r="K140" s="99"/>
      <c r="L140" s="99"/>
      <c r="M140" s="99"/>
      <c r="N140" s="99"/>
      <c r="O140" s="99"/>
    </row>
    <row r="141" spans="1:22" x14ac:dyDescent="0.25">
      <c r="C141" s="99"/>
      <c r="D141" s="99"/>
      <c r="E141" s="99"/>
      <c r="F141" s="99"/>
      <c r="G141" s="99"/>
      <c r="H141" s="99"/>
      <c r="I141" s="99"/>
      <c r="J141" s="99"/>
      <c r="K141" s="99"/>
      <c r="L141" s="99"/>
      <c r="M141" s="99"/>
      <c r="N141" s="99"/>
      <c r="O141" s="99"/>
    </row>
    <row r="142" spans="1:22" x14ac:dyDescent="0.25">
      <c r="C142" s="99"/>
      <c r="D142" s="99"/>
      <c r="E142" s="99"/>
      <c r="F142" s="99"/>
      <c r="G142" s="99"/>
      <c r="H142" s="99"/>
      <c r="I142" s="99"/>
      <c r="J142" s="99"/>
      <c r="K142" s="99"/>
      <c r="L142" s="99"/>
      <c r="M142" s="99"/>
      <c r="N142" s="99"/>
      <c r="O142" s="99"/>
    </row>
    <row r="143" spans="1:22" x14ac:dyDescent="0.25">
      <c r="C143" s="99"/>
      <c r="D143" s="99"/>
      <c r="E143" s="99"/>
      <c r="F143" s="99"/>
      <c r="G143" s="99"/>
      <c r="H143" s="99"/>
      <c r="I143" s="99"/>
      <c r="J143" s="99"/>
      <c r="K143" s="99"/>
      <c r="L143" s="99"/>
      <c r="M143" s="99"/>
      <c r="N143" s="99"/>
      <c r="O143" s="99"/>
    </row>
    <row r="144" spans="1:22" x14ac:dyDescent="0.25">
      <c r="C144" s="99"/>
      <c r="D144" s="99"/>
      <c r="E144" s="99"/>
      <c r="F144" s="99"/>
      <c r="G144" s="99"/>
      <c r="H144" s="99"/>
      <c r="I144" s="99"/>
      <c r="J144" s="99"/>
      <c r="K144" s="99"/>
      <c r="L144" s="99"/>
      <c r="M144" s="99"/>
      <c r="N144" s="99"/>
      <c r="O144" s="99"/>
    </row>
    <row r="145" spans="3:3" x14ac:dyDescent="0.25">
      <c r="C145" s="99"/>
    </row>
    <row r="146" spans="3:3" x14ac:dyDescent="0.25">
      <c r="C146" s="99"/>
    </row>
    <row r="147" spans="3:3" x14ac:dyDescent="0.25">
      <c r="C147" s="99"/>
    </row>
    <row r="148" spans="3:3" x14ac:dyDescent="0.25">
      <c r="C148" s="99"/>
    </row>
    <row r="149" spans="3:3" x14ac:dyDescent="0.25">
      <c r="C149" s="99"/>
    </row>
    <row r="150" spans="3:3" x14ac:dyDescent="0.25">
      <c r="C150" s="99"/>
    </row>
    <row r="151" spans="3:3" x14ac:dyDescent="0.25">
      <c r="C151" s="99"/>
    </row>
    <row r="152" spans="3:3" x14ac:dyDescent="0.25">
      <c r="C152" s="99"/>
    </row>
    <row r="153" spans="3:3" x14ac:dyDescent="0.25">
      <c r="C153" s="99"/>
    </row>
    <row r="154" spans="3:3" x14ac:dyDescent="0.25">
      <c r="C154" s="99"/>
    </row>
    <row r="155" spans="3:3" x14ac:dyDescent="0.25">
      <c r="C155" s="99"/>
    </row>
    <row r="156" spans="3:3" x14ac:dyDescent="0.25">
      <c r="C156" s="99"/>
    </row>
    <row r="157" spans="3:3" x14ac:dyDescent="0.25">
      <c r="C157" s="99"/>
    </row>
    <row r="158" spans="3:3" x14ac:dyDescent="0.25">
      <c r="C158" s="99"/>
    </row>
    <row r="159" spans="3:3" x14ac:dyDescent="0.25">
      <c r="C159" s="99"/>
    </row>
    <row r="160" spans="3:3" x14ac:dyDescent="0.25">
      <c r="C160" s="99"/>
    </row>
    <row r="161" spans="3:3" x14ac:dyDescent="0.25">
      <c r="C161" s="99"/>
    </row>
    <row r="162" spans="3:3" x14ac:dyDescent="0.25">
      <c r="C162" s="99"/>
    </row>
    <row r="163" spans="3:3" x14ac:dyDescent="0.25">
      <c r="C163" s="99"/>
    </row>
    <row r="164" spans="3:3" x14ac:dyDescent="0.25">
      <c r="C164" s="99"/>
    </row>
    <row r="165" spans="3:3" x14ac:dyDescent="0.25">
      <c r="C165" s="99"/>
    </row>
    <row r="166" spans="3:3" x14ac:dyDescent="0.25">
      <c r="C166" s="99"/>
    </row>
    <row r="167" spans="3:3" x14ac:dyDescent="0.25">
      <c r="C167" s="99"/>
    </row>
    <row r="168" spans="3:3" x14ac:dyDescent="0.25">
      <c r="C168" s="99"/>
    </row>
    <row r="169" spans="3:3" x14ac:dyDescent="0.25">
      <c r="C169" s="99"/>
    </row>
    <row r="170" spans="3:3" x14ac:dyDescent="0.25">
      <c r="C170" s="99"/>
    </row>
    <row r="171" spans="3:3" x14ac:dyDescent="0.25">
      <c r="C171" s="99"/>
    </row>
    <row r="172" spans="3:3" x14ac:dyDescent="0.25">
      <c r="C172" s="99"/>
    </row>
    <row r="173" spans="3:3" x14ac:dyDescent="0.25">
      <c r="C173" s="99"/>
    </row>
    <row r="174" spans="3:3" x14ac:dyDescent="0.25">
      <c r="C174" s="99"/>
    </row>
    <row r="175" spans="3:3" x14ac:dyDescent="0.25">
      <c r="C175" s="99"/>
    </row>
    <row r="176" spans="3:3" x14ac:dyDescent="0.25">
      <c r="C176" s="99"/>
    </row>
    <row r="177" spans="3:3" x14ac:dyDescent="0.25">
      <c r="C177" s="99"/>
    </row>
    <row r="178" spans="3:3" x14ac:dyDescent="0.25">
      <c r="C178" s="99"/>
    </row>
    <row r="179" spans="3:3" x14ac:dyDescent="0.25">
      <c r="C179" s="99"/>
    </row>
    <row r="180" spans="3:3" x14ac:dyDescent="0.25">
      <c r="C180" s="99"/>
    </row>
  </sheetData>
  <phoneticPr fontId="0" type="noConversion"/>
  <hyperlinks>
    <hyperlink ref="A1" location="'420 DPW'!A1" display="Main 440" xr:uid="{00000000-0004-0000-2400-000000000000}"/>
    <hyperlink ref="B1" location="'Table of Contents'!A1" display="TOC" xr:uid="{00000000-0004-0000-2400-000001000000}"/>
  </hyperlinks>
  <pageMargins left="0.75" right="0.75" top="1" bottom="1" header="0.5" footer="0.5"/>
  <pageSetup scale="90" fitToHeight="0" orientation="landscape" r:id="rId1"/>
  <headerFooter alignWithMargins="0">
    <oddFooter>&amp;L&amp;D     &amp;T&amp;C&amp;F&amp;R&amp;A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A1:W176"/>
  <sheetViews>
    <sheetView workbookViewId="0">
      <selection activeCell="P15" sqref="P15"/>
    </sheetView>
  </sheetViews>
  <sheetFormatPr defaultRowHeight="13.2" x14ac:dyDescent="0.25"/>
  <cols>
    <col min="1" max="1" width="8.77734375" style="228"/>
    <col min="2" max="2" width="36.6640625" customWidth="1"/>
    <col min="3" max="3" width="14.44140625" style="1" hidden="1" customWidth="1"/>
    <col min="4" max="12" width="14.44140625" style="67" hidden="1" customWidth="1"/>
    <col min="13" max="15" width="14.44140625" style="67" customWidth="1"/>
    <col min="16" max="16" width="14.44140625" customWidth="1"/>
    <col min="17" max="19" width="14.44140625" style="1" customWidth="1"/>
    <col min="20" max="22" width="14.44140625" customWidth="1"/>
    <col min="23" max="23" width="14.6640625" style="2" customWidth="1"/>
  </cols>
  <sheetData>
    <row r="1" spans="1:22" x14ac:dyDescent="0.25">
      <c r="A1" s="217" t="s">
        <v>193</v>
      </c>
      <c r="B1" s="132" t="s">
        <v>2</v>
      </c>
      <c r="D1" s="99"/>
      <c r="E1" s="99"/>
      <c r="F1" s="99"/>
      <c r="G1" s="99"/>
      <c r="H1" s="99"/>
      <c r="I1" s="99"/>
      <c r="J1" s="99"/>
      <c r="K1" s="99"/>
      <c r="L1" s="99"/>
      <c r="M1" s="99"/>
      <c r="N1" s="99"/>
      <c r="O1" s="99"/>
      <c r="S1"/>
    </row>
    <row r="2" spans="1:22" ht="13.8" x14ac:dyDescent="0.25">
      <c r="A2" s="218" t="s">
        <v>136</v>
      </c>
      <c r="B2" s="35"/>
      <c r="D2" s="99"/>
      <c r="E2" s="78"/>
      <c r="F2" s="99"/>
      <c r="G2" s="99"/>
      <c r="H2" s="99"/>
      <c r="I2" s="78" t="s">
        <v>22</v>
      </c>
      <c r="J2" s="78"/>
      <c r="K2" s="78"/>
      <c r="L2" s="78"/>
      <c r="M2" s="78"/>
      <c r="N2" s="78"/>
      <c r="O2" s="78"/>
      <c r="P2" s="40" t="s">
        <v>211</v>
      </c>
      <c r="S2" s="36" t="s">
        <v>212</v>
      </c>
      <c r="U2" s="36"/>
    </row>
    <row r="3" spans="1:22" ht="13.8" thickBot="1" x14ac:dyDescent="0.3">
      <c r="A3" s="219"/>
      <c r="B3" s="3"/>
      <c r="C3" s="18"/>
      <c r="D3" s="18"/>
      <c r="E3" s="18"/>
      <c r="F3" s="18"/>
      <c r="G3" s="18"/>
      <c r="H3" s="18"/>
      <c r="I3" s="18"/>
      <c r="J3" s="18"/>
      <c r="K3" s="18"/>
      <c r="L3" s="18"/>
      <c r="M3" s="18"/>
      <c r="N3" s="18"/>
      <c r="O3" s="18"/>
      <c r="P3" s="3"/>
      <c r="Q3" s="18"/>
      <c r="R3" s="18"/>
      <c r="S3" s="3"/>
      <c r="U3" s="3"/>
      <c r="V3" s="3"/>
    </row>
    <row r="4" spans="1:22" ht="13.8" thickTop="1" x14ac:dyDescent="0.25">
      <c r="A4" s="220"/>
      <c r="B4" s="187"/>
      <c r="C4" s="71" t="s">
        <v>13</v>
      </c>
      <c r="D4" s="106" t="s">
        <v>13</v>
      </c>
      <c r="E4" s="106" t="s">
        <v>13</v>
      </c>
      <c r="F4" s="106" t="s">
        <v>13</v>
      </c>
      <c r="G4" s="106" t="s">
        <v>13</v>
      </c>
      <c r="H4" s="65" t="s">
        <v>13</v>
      </c>
      <c r="I4" s="111" t="s">
        <v>13</v>
      </c>
      <c r="J4" s="111" t="s">
        <v>13</v>
      </c>
      <c r="K4" s="111" t="s">
        <v>12</v>
      </c>
      <c r="L4" s="111" t="s">
        <v>13</v>
      </c>
      <c r="M4" s="111" t="s">
        <v>12</v>
      </c>
      <c r="N4" s="111" t="s">
        <v>13</v>
      </c>
      <c r="O4" s="111" t="s">
        <v>12</v>
      </c>
      <c r="P4" s="65" t="s">
        <v>23</v>
      </c>
      <c r="Q4" s="52" t="s">
        <v>18</v>
      </c>
      <c r="R4" s="52" t="s">
        <v>18</v>
      </c>
      <c r="S4" s="4" t="s">
        <v>18</v>
      </c>
    </row>
    <row r="5" spans="1:22" x14ac:dyDescent="0.25">
      <c r="A5" s="221"/>
      <c r="B5" s="96"/>
      <c r="C5" s="70"/>
      <c r="D5" s="54"/>
      <c r="E5" s="66"/>
      <c r="F5" s="54"/>
      <c r="G5" s="54"/>
      <c r="H5" s="66"/>
      <c r="I5" s="112"/>
      <c r="J5" s="112"/>
      <c r="K5" s="112"/>
      <c r="L5" s="112"/>
      <c r="M5" s="112"/>
      <c r="N5" s="112"/>
      <c r="O5" s="112"/>
      <c r="P5" s="66" t="s">
        <v>24</v>
      </c>
      <c r="Q5" s="55" t="s">
        <v>25</v>
      </c>
      <c r="R5" s="55" t="s">
        <v>26</v>
      </c>
      <c r="S5" s="93" t="s">
        <v>27</v>
      </c>
    </row>
    <row r="6" spans="1:22" x14ac:dyDescent="0.25">
      <c r="A6" s="221"/>
      <c r="B6" s="96"/>
      <c r="C6" s="70"/>
      <c r="D6" s="70"/>
      <c r="E6" s="70"/>
      <c r="F6" s="70"/>
      <c r="G6" s="70"/>
      <c r="H6" s="70"/>
      <c r="I6" s="55"/>
      <c r="J6" s="55"/>
      <c r="K6" s="55"/>
      <c r="L6" s="55"/>
      <c r="M6" s="55"/>
      <c r="N6" s="55"/>
      <c r="O6" s="55"/>
      <c r="P6" s="70"/>
      <c r="Q6" s="55" t="s">
        <v>28</v>
      </c>
      <c r="R6" s="55" t="s">
        <v>19</v>
      </c>
      <c r="S6" s="37" t="s">
        <v>29</v>
      </c>
    </row>
    <row r="7" spans="1:22" ht="13.8" thickBot="1" x14ac:dyDescent="0.3">
      <c r="A7" s="222" t="s">
        <v>30</v>
      </c>
      <c r="B7" s="51"/>
      <c r="C7" s="115" t="s">
        <v>4</v>
      </c>
      <c r="D7" s="115" t="s">
        <v>5</v>
      </c>
      <c r="E7" s="5" t="s">
        <v>6</v>
      </c>
      <c r="F7" s="5" t="s">
        <v>15</v>
      </c>
      <c r="G7" s="5" t="s">
        <v>16</v>
      </c>
      <c r="H7" s="5" t="s">
        <v>7</v>
      </c>
      <c r="I7" s="5" t="s">
        <v>8</v>
      </c>
      <c r="J7" s="5" t="s">
        <v>17</v>
      </c>
      <c r="K7" s="5" t="s">
        <v>9</v>
      </c>
      <c r="L7" s="5" t="s">
        <v>9</v>
      </c>
      <c r="M7" s="5" t="s">
        <v>10</v>
      </c>
      <c r="N7" s="5" t="s">
        <v>10</v>
      </c>
      <c r="O7" s="5" t="s">
        <v>11</v>
      </c>
      <c r="P7" s="76">
        <v>44926</v>
      </c>
      <c r="Q7" s="5" t="s">
        <v>31</v>
      </c>
      <c r="R7" s="5"/>
      <c r="S7" s="5" t="s">
        <v>19</v>
      </c>
    </row>
    <row r="8" spans="1:22" ht="13.8" thickTop="1" x14ac:dyDescent="0.25">
      <c r="A8" s="223"/>
      <c r="B8" s="90"/>
      <c r="C8" s="72"/>
      <c r="D8" s="117"/>
      <c r="E8" s="117"/>
      <c r="F8" s="117"/>
      <c r="G8" s="117"/>
      <c r="H8" s="117"/>
      <c r="I8" s="117"/>
      <c r="J8" s="117"/>
      <c r="K8" s="85"/>
      <c r="L8" s="85"/>
      <c r="M8" s="85"/>
      <c r="N8" s="85"/>
      <c r="O8" s="85"/>
      <c r="P8" s="41"/>
      <c r="Q8" s="6"/>
      <c r="R8" s="6"/>
      <c r="S8" s="6"/>
    </row>
    <row r="9" spans="1:22" x14ac:dyDescent="0.25">
      <c r="A9" s="224">
        <v>5112</v>
      </c>
      <c r="B9" s="42" t="s">
        <v>196</v>
      </c>
      <c r="C9" s="138">
        <v>41932.800000000003</v>
      </c>
      <c r="D9" s="8">
        <f>2803.4+57361.7</f>
        <v>60165.1</v>
      </c>
      <c r="E9" s="79">
        <v>81342.8</v>
      </c>
      <c r="F9" s="79">
        <v>83923.6</v>
      </c>
      <c r="G9" s="79">
        <v>121300</v>
      </c>
      <c r="H9" s="79">
        <v>128377.60000000001</v>
      </c>
      <c r="I9" s="8">
        <v>134014.39999999999</v>
      </c>
      <c r="J9" s="8">
        <v>140448</v>
      </c>
      <c r="K9" s="9">
        <v>145004</v>
      </c>
      <c r="L9" s="8">
        <v>142739.15</v>
      </c>
      <c r="M9" s="9">
        <v>148491</v>
      </c>
      <c r="N9" s="8">
        <v>129845.92</v>
      </c>
      <c r="O9" s="9">
        <f>4098+136885</f>
        <v>140983</v>
      </c>
      <c r="P9" s="8">
        <v>66218.02</v>
      </c>
      <c r="Q9" s="206">
        <f>+'420 DPW'!P77+'420 DPW'!P78+'420 DPW'!P79</f>
        <v>147908.79999999999</v>
      </c>
      <c r="R9" s="9"/>
      <c r="S9" s="9"/>
    </row>
    <row r="10" spans="1:22" x14ac:dyDescent="0.25">
      <c r="A10" s="224">
        <v>5124</v>
      </c>
      <c r="B10" s="42" t="s">
        <v>56</v>
      </c>
      <c r="C10" s="138">
        <v>4630</v>
      </c>
      <c r="D10" s="8">
        <f>65.57+4175</f>
        <v>4240.57</v>
      </c>
      <c r="E10" s="79">
        <v>3855</v>
      </c>
      <c r="F10" s="79">
        <v>5060</v>
      </c>
      <c r="G10" s="79">
        <v>3335</v>
      </c>
      <c r="H10" s="79">
        <v>4303.75</v>
      </c>
      <c r="I10" s="8">
        <v>3720</v>
      </c>
      <c r="J10" s="8">
        <v>9017.6299999999992</v>
      </c>
      <c r="K10" s="9">
        <v>6000</v>
      </c>
      <c r="L10" s="8">
        <v>9774.94</v>
      </c>
      <c r="M10" s="9">
        <v>12000</v>
      </c>
      <c r="N10" s="8">
        <v>9792.3799999999992</v>
      </c>
      <c r="O10" s="9">
        <v>19000</v>
      </c>
      <c r="P10" s="8">
        <v>3562.5</v>
      </c>
      <c r="Q10" s="9">
        <f>+'420 DPW'!P91+'420 DPW'!P92+'420 DPW'!P93</f>
        <v>21600</v>
      </c>
      <c r="R10" s="9"/>
      <c r="S10" s="9"/>
    </row>
    <row r="11" spans="1:22" x14ac:dyDescent="0.25">
      <c r="A11" s="224">
        <v>5132</v>
      </c>
      <c r="B11" s="42" t="s">
        <v>213</v>
      </c>
      <c r="C11" s="138">
        <v>3754.23</v>
      </c>
      <c r="D11" s="8">
        <v>1646.91</v>
      </c>
      <c r="E11" s="79">
        <v>1559.88</v>
      </c>
      <c r="F11" s="79">
        <v>2932.54</v>
      </c>
      <c r="G11" s="79">
        <v>3098.86</v>
      </c>
      <c r="H11" s="79">
        <v>1788.23</v>
      </c>
      <c r="I11" s="8">
        <v>3413.58</v>
      </c>
      <c r="J11" s="8">
        <v>4165.6499999999996</v>
      </c>
      <c r="K11" s="9">
        <v>5000</v>
      </c>
      <c r="L11" s="8">
        <v>7423.58</v>
      </c>
      <c r="M11" s="9">
        <v>6000</v>
      </c>
      <c r="N11" s="8">
        <v>1381.29</v>
      </c>
      <c r="O11" s="9">
        <v>6250</v>
      </c>
      <c r="P11" s="8">
        <v>315.11</v>
      </c>
      <c r="Q11" s="9">
        <v>6000</v>
      </c>
      <c r="R11" s="9"/>
      <c r="S11" s="9"/>
    </row>
    <row r="12" spans="1:22" ht="13.8" thickBot="1" x14ac:dyDescent="0.3">
      <c r="A12" s="224">
        <v>5142</v>
      </c>
      <c r="B12" s="42" t="s">
        <v>127</v>
      </c>
      <c r="C12" s="140">
        <v>3.3</v>
      </c>
      <c r="D12" s="10"/>
      <c r="E12" s="10"/>
      <c r="F12" s="10"/>
      <c r="G12" s="10"/>
      <c r="H12" s="10"/>
      <c r="I12" s="10"/>
      <c r="J12" s="10"/>
      <c r="K12" s="11"/>
      <c r="L12" s="10"/>
      <c r="M12" s="11"/>
      <c r="N12" s="10"/>
      <c r="O12" s="11"/>
      <c r="P12" s="10"/>
      <c r="Q12" s="11"/>
      <c r="R12" s="11"/>
      <c r="S12" s="11"/>
    </row>
    <row r="13" spans="1:22" x14ac:dyDescent="0.25">
      <c r="A13" s="224"/>
      <c r="B13" s="43" t="s">
        <v>32</v>
      </c>
      <c r="C13" s="139">
        <f t="shared" ref="C13:P13" si="0">SUM(C9:C12)</f>
        <v>50320.330000000009</v>
      </c>
      <c r="D13" s="13">
        <f t="shared" si="0"/>
        <v>66052.58</v>
      </c>
      <c r="E13" s="13">
        <f t="shared" si="0"/>
        <v>86757.680000000008</v>
      </c>
      <c r="F13" s="13">
        <f>SUM(F9:F12)</f>
        <v>91916.14</v>
      </c>
      <c r="G13" s="13">
        <f>SUM(G9:G12)</f>
        <v>127733.86</v>
      </c>
      <c r="H13" s="13">
        <f>SUM(H9:H12)</f>
        <v>134469.58000000002</v>
      </c>
      <c r="I13" s="13">
        <f t="shared" si="0"/>
        <v>141147.97999999998</v>
      </c>
      <c r="J13" s="13">
        <f t="shared" si="0"/>
        <v>153631.28</v>
      </c>
      <c r="K13" s="14">
        <f>SUM(K9:K12)</f>
        <v>156004</v>
      </c>
      <c r="L13" s="13">
        <f>SUM(L9:L12)</f>
        <v>159937.66999999998</v>
      </c>
      <c r="M13" s="14">
        <f>SUM(M9:M12)</f>
        <v>166491</v>
      </c>
      <c r="N13" s="13">
        <f>SUM(N9:N12)</f>
        <v>141019.59</v>
      </c>
      <c r="O13" s="14">
        <f>SUM(O9:O12)</f>
        <v>166233</v>
      </c>
      <c r="P13" s="13">
        <f t="shared" si="0"/>
        <v>70095.63</v>
      </c>
      <c r="Q13" s="14">
        <f>SUM(Q9:Q12)</f>
        <v>175508.8</v>
      </c>
      <c r="R13" s="14">
        <f>SUM(R9:R12)</f>
        <v>0</v>
      </c>
      <c r="S13" s="14">
        <f>SUM(S9:S12)</f>
        <v>0</v>
      </c>
    </row>
    <row r="14" spans="1:22" x14ac:dyDescent="0.25">
      <c r="A14" s="224"/>
      <c r="B14" s="42"/>
      <c r="C14" s="138"/>
      <c r="D14" s="8"/>
      <c r="E14" s="8"/>
      <c r="F14" s="8"/>
      <c r="G14" s="8"/>
      <c r="H14" s="8"/>
      <c r="I14" s="8"/>
      <c r="J14" s="8"/>
      <c r="K14" s="9"/>
      <c r="L14" s="8"/>
      <c r="M14" s="9"/>
      <c r="N14" s="8"/>
      <c r="O14" s="9"/>
      <c r="P14" s="8"/>
      <c r="Q14" s="9"/>
      <c r="R14" s="9"/>
      <c r="S14" s="9"/>
    </row>
    <row r="15" spans="1:22" x14ac:dyDescent="0.25">
      <c r="A15" s="224">
        <v>5315</v>
      </c>
      <c r="B15" s="42" t="s">
        <v>214</v>
      </c>
      <c r="C15" s="138"/>
      <c r="D15" s="8"/>
      <c r="E15" s="8"/>
      <c r="F15" s="8"/>
      <c r="G15" s="8"/>
      <c r="H15" s="8"/>
      <c r="I15" s="8"/>
      <c r="J15" s="8"/>
      <c r="K15" s="9"/>
      <c r="L15" s="8">
        <v>400</v>
      </c>
      <c r="M15" s="9"/>
      <c r="N15" s="8"/>
      <c r="O15" s="9"/>
      <c r="P15" s="8"/>
      <c r="Q15" s="9">
        <v>3500</v>
      </c>
      <c r="R15" s="9"/>
      <c r="S15" s="9"/>
    </row>
    <row r="16" spans="1:22" x14ac:dyDescent="0.25">
      <c r="A16" s="224">
        <v>5443</v>
      </c>
      <c r="B16" s="42" t="s">
        <v>158</v>
      </c>
      <c r="C16" s="138">
        <v>4952.8900000000003</v>
      </c>
      <c r="D16" s="8">
        <v>5225.26</v>
      </c>
      <c r="E16" s="79">
        <v>8534.39</v>
      </c>
      <c r="F16" s="79">
        <v>9126.2199999999993</v>
      </c>
      <c r="G16" s="79">
        <v>10174.370000000001</v>
      </c>
      <c r="H16" s="79">
        <v>8223.6</v>
      </c>
      <c r="I16" s="8">
        <v>9133.7099999999991</v>
      </c>
      <c r="J16" s="8">
        <v>5633.89</v>
      </c>
      <c r="K16" s="9">
        <v>9000</v>
      </c>
      <c r="L16" s="8">
        <v>9201.35</v>
      </c>
      <c r="M16" s="9">
        <v>9000</v>
      </c>
      <c r="N16" s="8">
        <v>3717.78</v>
      </c>
      <c r="O16" s="9">
        <v>9000</v>
      </c>
      <c r="P16" s="8">
        <v>2069.79</v>
      </c>
      <c r="Q16" s="9">
        <v>9000</v>
      </c>
      <c r="R16" s="9"/>
      <c r="S16" s="9"/>
    </row>
    <row r="17" spans="1:22" ht="13.8" thickBot="1" x14ac:dyDescent="0.3">
      <c r="A17" s="224">
        <v>5460</v>
      </c>
      <c r="B17" s="42" t="s">
        <v>159</v>
      </c>
      <c r="C17" s="140">
        <v>512</v>
      </c>
      <c r="D17" s="10">
        <v>2052.3200000000002</v>
      </c>
      <c r="E17" s="10"/>
      <c r="F17" s="10">
        <v>40</v>
      </c>
      <c r="G17" s="10">
        <v>0</v>
      </c>
      <c r="H17" s="10"/>
      <c r="I17" s="10">
        <v>0</v>
      </c>
      <c r="J17" s="10"/>
      <c r="K17" s="11">
        <v>2000</v>
      </c>
      <c r="L17" s="10"/>
      <c r="M17" s="11">
        <v>2000</v>
      </c>
      <c r="N17" s="10">
        <v>3694.08</v>
      </c>
      <c r="O17" s="11">
        <v>2000</v>
      </c>
      <c r="P17" s="10">
        <v>3663.94</v>
      </c>
      <c r="Q17" s="11">
        <v>3000</v>
      </c>
      <c r="R17" s="11"/>
      <c r="S17" s="11"/>
    </row>
    <row r="18" spans="1:22" x14ac:dyDescent="0.25">
      <c r="A18" s="224"/>
      <c r="B18" s="43" t="s">
        <v>34</v>
      </c>
      <c r="C18" s="75">
        <f t="shared" ref="C18:E18" si="1">SUM(C16:C17)</f>
        <v>5464.89</v>
      </c>
      <c r="D18" s="13">
        <f t="shared" si="1"/>
        <v>7277.58</v>
      </c>
      <c r="E18" s="13">
        <f t="shared" si="1"/>
        <v>8534.39</v>
      </c>
      <c r="F18" s="13">
        <f>SUM(F16:F17)</f>
        <v>9166.2199999999993</v>
      </c>
      <c r="G18" s="13">
        <f>SUM(G16:G17)</f>
        <v>10174.370000000001</v>
      </c>
      <c r="H18" s="13">
        <f>SUM(H16:H17)</f>
        <v>8223.6</v>
      </c>
      <c r="I18" s="13">
        <f t="shared" ref="I18:Q18" si="2">SUM(I15:I17)</f>
        <v>9133.7099999999991</v>
      </c>
      <c r="J18" s="13">
        <f t="shared" si="2"/>
        <v>5633.89</v>
      </c>
      <c r="K18" s="14">
        <f t="shared" si="2"/>
        <v>11000</v>
      </c>
      <c r="L18" s="13">
        <f t="shared" si="2"/>
        <v>9601.35</v>
      </c>
      <c r="M18" s="14">
        <f t="shared" ref="M18" si="3">SUM(M15:M17)</f>
        <v>11000</v>
      </c>
      <c r="N18" s="13">
        <f t="shared" ref="N18" si="4">SUM(N15:N17)</f>
        <v>7411.8600000000006</v>
      </c>
      <c r="O18" s="14">
        <f t="shared" si="2"/>
        <v>11000</v>
      </c>
      <c r="P18" s="13">
        <f t="shared" si="2"/>
        <v>5733.73</v>
      </c>
      <c r="Q18" s="14">
        <f t="shared" si="2"/>
        <v>15500</v>
      </c>
      <c r="R18" s="14">
        <f t="shared" ref="R18" si="5">SUM(R15:R17)</f>
        <v>0</v>
      </c>
      <c r="S18" s="14">
        <f>SUM(S16:S17)</f>
        <v>0</v>
      </c>
    </row>
    <row r="19" spans="1:22" x14ac:dyDescent="0.25">
      <c r="A19" s="224"/>
      <c r="B19" s="42"/>
      <c r="C19" s="73"/>
      <c r="D19" s="8"/>
      <c r="E19" s="8"/>
      <c r="F19" s="8"/>
      <c r="G19" s="8"/>
      <c r="H19" s="8"/>
      <c r="I19" s="8"/>
      <c r="J19" s="8"/>
      <c r="K19" s="9"/>
      <c r="L19" s="8"/>
      <c r="M19" s="9"/>
      <c r="N19" s="8"/>
      <c r="O19" s="9"/>
      <c r="P19" s="8"/>
      <c r="Q19" s="9"/>
      <c r="R19" s="9"/>
      <c r="S19" s="9"/>
    </row>
    <row r="20" spans="1:22" ht="13.8" thickBot="1" x14ac:dyDescent="0.3">
      <c r="A20" s="225"/>
      <c r="B20" s="15" t="s">
        <v>215</v>
      </c>
      <c r="C20" s="16">
        <f t="shared" ref="C20:Q20" si="6">+C18+C13</f>
        <v>55785.220000000008</v>
      </c>
      <c r="D20" s="16">
        <f t="shared" si="6"/>
        <v>73330.16</v>
      </c>
      <c r="E20" s="16">
        <f t="shared" ref="E20:J20" si="7">+E18+E13</f>
        <v>95292.07</v>
      </c>
      <c r="F20" s="16">
        <f t="shared" si="7"/>
        <v>101082.36</v>
      </c>
      <c r="G20" s="16">
        <f t="shared" si="7"/>
        <v>137908.23000000001</v>
      </c>
      <c r="H20" s="16">
        <f t="shared" si="7"/>
        <v>142693.18000000002</v>
      </c>
      <c r="I20" s="16">
        <f t="shared" si="7"/>
        <v>150281.68999999997</v>
      </c>
      <c r="J20" s="16">
        <f t="shared" si="7"/>
        <v>159265.17000000001</v>
      </c>
      <c r="K20" s="17">
        <f t="shared" ref="K20:M20" si="8">+K18+K13</f>
        <v>167004</v>
      </c>
      <c r="L20" s="16">
        <f t="shared" si="8"/>
        <v>169539.02</v>
      </c>
      <c r="M20" s="17">
        <f t="shared" si="8"/>
        <v>177491</v>
      </c>
      <c r="N20" s="16">
        <f t="shared" ref="N20" si="9">+N18+N13</f>
        <v>148431.45000000001</v>
      </c>
      <c r="O20" s="17">
        <f t="shared" ref="O20" si="10">+O18+O13</f>
        <v>177233</v>
      </c>
      <c r="P20" s="16">
        <f t="shared" si="6"/>
        <v>75829.36</v>
      </c>
      <c r="Q20" s="17">
        <f t="shared" si="6"/>
        <v>191008.8</v>
      </c>
      <c r="R20" s="17">
        <f>+Q20</f>
        <v>191008.8</v>
      </c>
      <c r="S20" s="17">
        <f>+Q20</f>
        <v>191008.8</v>
      </c>
    </row>
    <row r="21" spans="1:22" ht="13.8" thickTop="1" x14ac:dyDescent="0.25">
      <c r="A21" s="45"/>
      <c r="B21" s="3"/>
      <c r="C21" s="18"/>
      <c r="D21" s="18"/>
      <c r="E21" s="18"/>
      <c r="F21" s="18"/>
      <c r="G21" s="18"/>
      <c r="H21" s="18"/>
      <c r="I21" s="18"/>
      <c r="J21" s="18"/>
      <c r="K21" s="18"/>
      <c r="L21" s="18"/>
      <c r="M21" s="18"/>
      <c r="N21" s="18"/>
      <c r="O21" s="18"/>
      <c r="P21" s="94" t="s">
        <v>37</v>
      </c>
      <c r="Q21" s="278">
        <f>+Q20-O20</f>
        <v>13775.799999999988</v>
      </c>
      <c r="R21" s="279">
        <f>ROUND((+Q21/O20),4)</f>
        <v>7.7700000000000005E-2</v>
      </c>
      <c r="S21" s="18"/>
      <c r="T21" s="20"/>
      <c r="U21" s="20"/>
      <c r="V21" s="20"/>
    </row>
    <row r="22" spans="1:22" ht="13.8" thickBot="1" x14ac:dyDescent="0.3">
      <c r="A22" s="219"/>
      <c r="B22" s="3"/>
      <c r="C22" s="18"/>
      <c r="D22" s="18"/>
      <c r="E22" s="18"/>
      <c r="F22" s="18"/>
      <c r="G22" s="18"/>
      <c r="H22" s="18"/>
      <c r="I22" s="18"/>
      <c r="J22" s="18"/>
      <c r="K22" s="18"/>
      <c r="L22" s="18"/>
      <c r="M22" s="18"/>
      <c r="N22" s="18"/>
      <c r="O22" s="18"/>
      <c r="P22" s="20"/>
      <c r="Q22" s="18"/>
      <c r="R22" s="18"/>
      <c r="S22" s="20"/>
      <c r="T22" s="20"/>
      <c r="U22" s="20"/>
      <c r="V22" s="20"/>
    </row>
    <row r="23" spans="1:22" ht="13.8" thickTop="1" x14ac:dyDescent="0.25">
      <c r="A23" s="231"/>
      <c r="B23" s="145"/>
      <c r="C23" s="146" t="s">
        <v>13</v>
      </c>
      <c r="D23" s="147" t="s">
        <v>13</v>
      </c>
      <c r="E23" s="147" t="s">
        <v>13</v>
      </c>
      <c r="F23" s="99"/>
      <c r="G23" s="99"/>
      <c r="H23" s="99"/>
      <c r="I23" s="99"/>
      <c r="J23" s="99"/>
      <c r="K23" s="99"/>
      <c r="L23" s="99"/>
      <c r="M23" s="148" t="s">
        <v>12</v>
      </c>
      <c r="N23" s="149" t="s">
        <v>31</v>
      </c>
      <c r="O23" s="150" t="s">
        <v>35</v>
      </c>
      <c r="P23" s="149" t="s">
        <v>36</v>
      </c>
      <c r="Q23" s="151"/>
      <c r="R23" s="193"/>
      <c r="S23" s="150"/>
      <c r="T23" s="20"/>
      <c r="U23" s="20"/>
      <c r="V23" s="20"/>
    </row>
    <row r="24" spans="1:22" ht="13.8" thickBot="1" x14ac:dyDescent="0.3">
      <c r="A24" s="232" t="s">
        <v>30</v>
      </c>
      <c r="B24" s="152"/>
      <c r="C24" s="153" t="s">
        <v>4</v>
      </c>
      <c r="D24" s="153" t="s">
        <v>5</v>
      </c>
      <c r="E24" s="154" t="s">
        <v>6</v>
      </c>
      <c r="F24" s="99"/>
      <c r="G24" s="99"/>
      <c r="H24" s="99"/>
      <c r="I24" s="99"/>
      <c r="J24" s="99"/>
      <c r="K24" s="99"/>
      <c r="L24" s="99"/>
      <c r="M24" s="155" t="s">
        <v>11</v>
      </c>
      <c r="N24" s="155" t="s">
        <v>18</v>
      </c>
      <c r="O24" s="154" t="s">
        <v>37</v>
      </c>
      <c r="P24" s="156" t="s">
        <v>37</v>
      </c>
      <c r="Q24" s="157" t="s">
        <v>38</v>
      </c>
      <c r="R24" s="194"/>
      <c r="S24" s="155"/>
      <c r="T24" s="20"/>
      <c r="U24" s="20"/>
      <c r="V24" s="20"/>
    </row>
    <row r="25" spans="1:22" ht="13.8" thickTop="1" x14ac:dyDescent="0.25">
      <c r="A25" s="233"/>
      <c r="B25" s="172"/>
      <c r="C25" s="173"/>
      <c r="D25" s="174"/>
      <c r="E25" s="174"/>
      <c r="F25" s="99"/>
      <c r="G25" s="99"/>
      <c r="H25" s="99"/>
      <c r="I25" s="99"/>
      <c r="J25" s="99"/>
      <c r="K25" s="99"/>
      <c r="L25" s="99"/>
      <c r="M25" s="175"/>
      <c r="N25" s="174"/>
      <c r="O25" s="175"/>
      <c r="P25" s="173"/>
      <c r="Q25" s="160"/>
      <c r="R25" s="195"/>
      <c r="S25" s="161"/>
      <c r="T25" s="20"/>
      <c r="U25" s="20"/>
      <c r="V25" s="20"/>
    </row>
    <row r="26" spans="1:22" x14ac:dyDescent="0.25">
      <c r="A26" s="234">
        <v>5112</v>
      </c>
      <c r="B26" s="162" t="s">
        <v>196</v>
      </c>
      <c r="C26" s="165">
        <v>41932.800000000003</v>
      </c>
      <c r="D26" s="165">
        <f>2803.4+57361.7</f>
        <v>60165.1</v>
      </c>
      <c r="E26" s="165">
        <v>81342.8</v>
      </c>
      <c r="F26" s="99"/>
      <c r="G26" s="99"/>
      <c r="H26" s="99"/>
      <c r="I26" s="99"/>
      <c r="J26" s="99"/>
      <c r="K26" s="99"/>
      <c r="L26" s="99"/>
      <c r="M26" s="164">
        <f>+O9</f>
        <v>140983</v>
      </c>
      <c r="N26" s="178">
        <f>+Q9</f>
        <v>147908.79999999999</v>
      </c>
      <c r="O26" s="179">
        <f t="shared" ref="O26:O31" si="11">+N26-M26</f>
        <v>6925.7999999999884</v>
      </c>
      <c r="P26" s="166">
        <f t="shared" ref="P26:P31" si="12">IF(M26+N26&lt;&gt;0,IF(M26&lt;&gt;0,IF(O26&lt;&gt;0,ROUND((+O26/M26),4),""),1),"")</f>
        <v>4.9099999999999998E-2</v>
      </c>
      <c r="Q26" s="160"/>
      <c r="R26" s="195"/>
      <c r="S26" s="161"/>
      <c r="T26" s="20"/>
      <c r="U26" s="20"/>
      <c r="V26" s="20"/>
    </row>
    <row r="27" spans="1:22" x14ac:dyDescent="0.25">
      <c r="A27" s="234">
        <v>5124</v>
      </c>
      <c r="B27" s="162" t="s">
        <v>56</v>
      </c>
      <c r="C27" s="165">
        <v>4630</v>
      </c>
      <c r="D27" s="165">
        <f>65.57+4175</f>
        <v>4240.57</v>
      </c>
      <c r="E27" s="165">
        <v>3855</v>
      </c>
      <c r="F27" s="99"/>
      <c r="G27" s="99"/>
      <c r="H27" s="99"/>
      <c r="I27" s="99"/>
      <c r="J27" s="99"/>
      <c r="K27" s="99"/>
      <c r="L27" s="99"/>
      <c r="M27" s="164">
        <f>+O10</f>
        <v>19000</v>
      </c>
      <c r="N27" s="178">
        <f>+Q10</f>
        <v>21600</v>
      </c>
      <c r="O27" s="179">
        <f t="shared" si="11"/>
        <v>2600</v>
      </c>
      <c r="P27" s="166">
        <f t="shared" si="12"/>
        <v>0.1368</v>
      </c>
      <c r="Q27" s="160"/>
      <c r="R27" s="195"/>
      <c r="S27" s="161"/>
      <c r="T27" s="20"/>
      <c r="U27" s="20"/>
      <c r="V27" s="20"/>
    </row>
    <row r="28" spans="1:22" x14ac:dyDescent="0.25">
      <c r="A28" s="234">
        <v>5132</v>
      </c>
      <c r="B28" s="162" t="s">
        <v>213</v>
      </c>
      <c r="C28" s="165">
        <v>3754.23</v>
      </c>
      <c r="D28" s="165">
        <v>1646.91</v>
      </c>
      <c r="E28" s="165">
        <v>1559.88</v>
      </c>
      <c r="F28" s="99"/>
      <c r="G28" s="99"/>
      <c r="H28" s="99"/>
      <c r="I28" s="99"/>
      <c r="J28" s="99"/>
      <c r="K28" s="99"/>
      <c r="L28" s="99"/>
      <c r="M28" s="164">
        <f>+O11</f>
        <v>6250</v>
      </c>
      <c r="N28" s="178">
        <f>+Q11</f>
        <v>6000</v>
      </c>
      <c r="O28" s="179">
        <f t="shared" si="11"/>
        <v>-250</v>
      </c>
      <c r="P28" s="166">
        <f t="shared" si="12"/>
        <v>-0.04</v>
      </c>
      <c r="Q28" s="160"/>
      <c r="R28" s="195"/>
      <c r="S28" s="161"/>
      <c r="T28" s="20"/>
      <c r="U28" s="20"/>
      <c r="V28" s="20"/>
    </row>
    <row r="29" spans="1:22" x14ac:dyDescent="0.25">
      <c r="A29" s="234">
        <v>5315</v>
      </c>
      <c r="B29" s="180" t="s">
        <v>64</v>
      </c>
      <c r="C29" s="165"/>
      <c r="D29" s="165"/>
      <c r="E29" s="165"/>
      <c r="F29" s="99"/>
      <c r="G29" s="99"/>
      <c r="H29" s="99"/>
      <c r="I29" s="99"/>
      <c r="J29" s="99"/>
      <c r="K29" s="99"/>
      <c r="L29" s="99"/>
      <c r="M29" s="164">
        <f>+O12</f>
        <v>0</v>
      </c>
      <c r="N29" s="178">
        <f>+Q12</f>
        <v>0</v>
      </c>
      <c r="O29" s="179">
        <f t="shared" si="11"/>
        <v>0</v>
      </c>
      <c r="P29" s="166" t="str">
        <f t="shared" si="12"/>
        <v/>
      </c>
      <c r="Q29" s="160"/>
      <c r="R29" s="195"/>
      <c r="S29" s="161"/>
      <c r="T29" s="20"/>
      <c r="U29" s="20"/>
      <c r="V29" s="20"/>
    </row>
    <row r="30" spans="1:22" x14ac:dyDescent="0.25">
      <c r="A30" s="234">
        <v>5443</v>
      </c>
      <c r="B30" s="162" t="s">
        <v>158</v>
      </c>
      <c r="C30" s="165">
        <v>4952.8900000000003</v>
      </c>
      <c r="D30" s="165">
        <v>5225.26</v>
      </c>
      <c r="E30" s="165">
        <v>8534.39</v>
      </c>
      <c r="F30" s="99"/>
      <c r="G30" s="99"/>
      <c r="H30" s="99"/>
      <c r="I30" s="99"/>
      <c r="J30" s="99"/>
      <c r="K30" s="99"/>
      <c r="L30" s="99"/>
      <c r="M30" s="164">
        <f>+O16</f>
        <v>9000</v>
      </c>
      <c r="N30" s="178">
        <f>+Q16</f>
        <v>9000</v>
      </c>
      <c r="O30" s="179">
        <f t="shared" si="11"/>
        <v>0</v>
      </c>
      <c r="P30" s="166" t="str">
        <f t="shared" si="12"/>
        <v/>
      </c>
      <c r="Q30" s="160"/>
      <c r="R30" s="195"/>
      <c r="S30" s="161"/>
      <c r="T30" s="20"/>
      <c r="U30" s="20"/>
      <c r="V30" s="20"/>
    </row>
    <row r="31" spans="1:22" ht="13.8" thickBot="1" x14ac:dyDescent="0.3">
      <c r="A31" s="234">
        <v>5460</v>
      </c>
      <c r="B31" s="162" t="s">
        <v>159</v>
      </c>
      <c r="C31" s="163">
        <v>512</v>
      </c>
      <c r="D31" s="163">
        <v>2052.3200000000002</v>
      </c>
      <c r="E31" s="163"/>
      <c r="F31" s="99"/>
      <c r="G31" s="99"/>
      <c r="H31" s="99"/>
      <c r="I31" s="99"/>
      <c r="J31" s="99"/>
      <c r="K31" s="99"/>
      <c r="L31" s="99"/>
      <c r="M31" s="164">
        <f>+O17</f>
        <v>2000</v>
      </c>
      <c r="N31" s="178">
        <f>+Q17</f>
        <v>3000</v>
      </c>
      <c r="O31" s="179">
        <f t="shared" si="11"/>
        <v>1000</v>
      </c>
      <c r="P31" s="166">
        <f t="shared" si="12"/>
        <v>0.5</v>
      </c>
      <c r="Q31" s="160"/>
      <c r="R31" s="195"/>
      <c r="S31" s="161"/>
      <c r="T31" s="20"/>
      <c r="U31" s="20"/>
      <c r="V31" s="20"/>
    </row>
    <row r="32" spans="1:22" x14ac:dyDescent="0.25">
      <c r="A32" s="219"/>
      <c r="B32" s="3"/>
      <c r="C32" s="18"/>
      <c r="D32" s="18"/>
      <c r="E32" s="18"/>
      <c r="F32" s="18"/>
      <c r="G32" s="18"/>
      <c r="H32" s="99"/>
      <c r="I32" s="99"/>
      <c r="J32" s="99"/>
      <c r="K32" s="99"/>
      <c r="L32" s="99"/>
      <c r="M32" s="18"/>
      <c r="N32" s="18"/>
      <c r="O32" s="18"/>
      <c r="P32" s="20"/>
      <c r="Q32" s="18"/>
      <c r="R32" s="18"/>
      <c r="S32" s="18"/>
      <c r="T32" s="20"/>
      <c r="U32" s="20"/>
      <c r="V32" s="20"/>
    </row>
    <row r="33" spans="1:22" x14ac:dyDescent="0.25">
      <c r="A33" s="219"/>
      <c r="B33" s="3" t="s">
        <v>39</v>
      </c>
      <c r="C33" s="18"/>
      <c r="D33" s="18"/>
      <c r="E33" s="18"/>
      <c r="F33" s="18"/>
      <c r="G33" s="18"/>
      <c r="H33" s="99"/>
      <c r="I33" s="99"/>
      <c r="J33" s="99"/>
      <c r="K33" s="99"/>
      <c r="L33" s="99"/>
      <c r="M33" s="209">
        <f>SUM(M25:M32)</f>
        <v>177233</v>
      </c>
      <c r="N33" s="209">
        <f>SUM(N25:N32)</f>
        <v>187508.8</v>
      </c>
      <c r="O33" s="20">
        <f>+N33-M33</f>
        <v>10275.799999999988</v>
      </c>
      <c r="P33" s="210">
        <f>IF(M33+N33&lt;&gt;0,IF(M33&lt;&gt;0,IF(O33&lt;&gt;0,ROUND((+O33/M33),4),""),1),"")</f>
        <v>5.8000000000000003E-2</v>
      </c>
      <c r="Q33" s="18"/>
      <c r="R33" s="18"/>
      <c r="S33" s="18"/>
      <c r="T33" s="20"/>
      <c r="U33" s="20"/>
      <c r="V33" s="20"/>
    </row>
    <row r="34" spans="1:22" x14ac:dyDescent="0.25">
      <c r="A34" s="219"/>
      <c r="B34" s="3"/>
      <c r="C34" s="18"/>
      <c r="D34" s="18"/>
      <c r="E34" s="18"/>
      <c r="F34" s="18"/>
      <c r="G34" s="18"/>
      <c r="H34" s="18"/>
      <c r="I34" s="18"/>
      <c r="J34" s="18"/>
      <c r="K34" s="99"/>
      <c r="L34" s="99"/>
      <c r="M34" s="18"/>
      <c r="N34" s="18"/>
      <c r="O34" s="18"/>
      <c r="P34" s="20"/>
      <c r="Q34" s="18"/>
      <c r="R34" s="18"/>
      <c r="S34" s="18"/>
      <c r="T34" s="20"/>
      <c r="U34" s="20"/>
      <c r="V34" s="20"/>
    </row>
    <row r="35" spans="1:22" x14ac:dyDescent="0.25">
      <c r="A35" s="219"/>
      <c r="B35" s="3"/>
      <c r="C35" s="18"/>
      <c r="D35" s="18"/>
      <c r="E35" s="18"/>
      <c r="F35" s="18"/>
      <c r="G35" s="18"/>
      <c r="H35" s="18"/>
      <c r="I35" s="18"/>
      <c r="J35" s="18"/>
      <c r="K35" s="18"/>
      <c r="L35" s="18"/>
      <c r="M35" s="18"/>
      <c r="N35" s="18"/>
      <c r="O35" s="18"/>
      <c r="P35" s="20"/>
      <c r="Q35" s="18"/>
      <c r="R35" s="18"/>
      <c r="S35" s="18"/>
      <c r="T35" s="20"/>
      <c r="U35" s="20"/>
      <c r="V35" s="20"/>
    </row>
    <row r="36" spans="1:22" x14ac:dyDescent="0.25">
      <c r="A36" s="219"/>
      <c r="B36" s="3"/>
      <c r="C36" s="18"/>
      <c r="D36" s="18"/>
      <c r="E36" s="18"/>
      <c r="F36" s="18"/>
      <c r="G36" s="18"/>
      <c r="H36" s="18"/>
      <c r="I36" s="18"/>
      <c r="J36" s="18"/>
      <c r="K36" s="18"/>
      <c r="L36" s="18"/>
      <c r="M36" s="18"/>
      <c r="N36" s="18"/>
      <c r="O36" s="18"/>
      <c r="P36" s="20"/>
      <c r="Q36" s="18"/>
      <c r="R36" s="18"/>
      <c r="S36" s="18"/>
      <c r="T36" s="20"/>
      <c r="U36" s="20"/>
      <c r="V36" s="20"/>
    </row>
    <row r="37" spans="1:22" x14ac:dyDescent="0.25">
      <c r="A37" s="219"/>
      <c r="B37" s="3"/>
      <c r="C37" s="18"/>
      <c r="D37" s="18"/>
      <c r="E37" s="18"/>
      <c r="F37" s="18"/>
      <c r="G37" s="18"/>
      <c r="H37" s="18"/>
      <c r="I37" s="18"/>
      <c r="J37" s="18"/>
      <c r="K37" s="18"/>
      <c r="L37" s="18"/>
      <c r="M37" s="18"/>
      <c r="N37" s="18"/>
      <c r="O37" s="18"/>
      <c r="P37" s="20"/>
      <c r="Q37" s="18"/>
      <c r="R37" s="18"/>
      <c r="S37" s="18"/>
      <c r="T37" s="20"/>
      <c r="U37" s="20"/>
      <c r="V37" s="20"/>
    </row>
    <row r="38" spans="1:22" x14ac:dyDescent="0.25">
      <c r="A38" s="219"/>
      <c r="B38" s="3"/>
      <c r="C38" s="18"/>
      <c r="D38" s="18"/>
      <c r="E38" s="18"/>
      <c r="F38" s="18"/>
      <c r="G38" s="18"/>
      <c r="H38" s="18"/>
      <c r="I38" s="18"/>
      <c r="J38" s="18"/>
      <c r="K38" s="18"/>
      <c r="L38" s="18"/>
      <c r="M38" s="18"/>
      <c r="N38" s="18"/>
      <c r="O38" s="18"/>
      <c r="P38" s="20"/>
      <c r="Q38" s="18"/>
      <c r="R38" s="18"/>
      <c r="S38" s="18"/>
      <c r="T38" s="20"/>
      <c r="U38" s="20"/>
      <c r="V38" s="20"/>
    </row>
    <row r="39" spans="1:22" x14ac:dyDescent="0.25">
      <c r="A39" s="219"/>
      <c r="B39" s="3"/>
      <c r="C39" s="18"/>
      <c r="D39" s="18"/>
      <c r="E39" s="18"/>
      <c r="F39" s="18"/>
      <c r="G39" s="18"/>
      <c r="H39" s="18"/>
      <c r="I39" s="18"/>
      <c r="J39" s="18"/>
      <c r="K39" s="18"/>
      <c r="L39" s="18"/>
      <c r="M39" s="18"/>
      <c r="N39" s="18"/>
      <c r="O39" s="18"/>
      <c r="P39" s="20"/>
      <c r="Q39" s="18"/>
      <c r="R39" s="18"/>
      <c r="S39" s="18"/>
      <c r="T39" s="20"/>
      <c r="U39" s="20"/>
      <c r="V39" s="20"/>
    </row>
    <row r="40" spans="1:22" x14ac:dyDescent="0.25">
      <c r="A40" s="219"/>
      <c r="B40" s="3"/>
      <c r="C40" s="18"/>
      <c r="D40" s="18"/>
      <c r="E40" s="18"/>
      <c r="F40" s="18"/>
      <c r="G40" s="18"/>
      <c r="H40" s="18"/>
      <c r="I40" s="18"/>
      <c r="J40" s="18"/>
      <c r="K40" s="18"/>
      <c r="L40" s="18"/>
      <c r="M40" s="18"/>
      <c r="N40" s="18"/>
      <c r="O40" s="18"/>
      <c r="P40" s="20"/>
      <c r="Q40" s="18"/>
      <c r="R40" s="18"/>
      <c r="S40" s="18"/>
      <c r="T40" s="20"/>
      <c r="U40" s="20"/>
      <c r="V40" s="20"/>
    </row>
    <row r="41" spans="1:22" x14ac:dyDescent="0.25">
      <c r="A41" s="219"/>
      <c r="B41" s="3"/>
      <c r="C41" s="18"/>
      <c r="D41" s="18"/>
      <c r="E41" s="18"/>
      <c r="F41" s="18"/>
      <c r="G41" s="18"/>
      <c r="H41" s="18"/>
      <c r="I41" s="18"/>
      <c r="J41" s="18"/>
      <c r="K41" s="18"/>
      <c r="L41" s="18"/>
      <c r="M41" s="18"/>
      <c r="N41" s="18"/>
      <c r="O41" s="18"/>
      <c r="P41" s="20"/>
      <c r="Q41" s="18"/>
      <c r="R41" s="18"/>
      <c r="S41" s="18"/>
      <c r="T41" s="20"/>
      <c r="U41" s="20"/>
      <c r="V41" s="20"/>
    </row>
    <row r="42" spans="1:22" x14ac:dyDescent="0.25">
      <c r="A42" s="219"/>
      <c r="B42" s="3"/>
      <c r="C42" s="18"/>
      <c r="D42" s="18"/>
      <c r="E42" s="18"/>
      <c r="F42" s="18"/>
      <c r="G42" s="18"/>
      <c r="H42" s="18"/>
      <c r="I42" s="18"/>
      <c r="J42" s="18"/>
      <c r="K42" s="18"/>
      <c r="L42" s="18"/>
      <c r="M42" s="18"/>
      <c r="N42" s="18"/>
      <c r="O42" s="18"/>
      <c r="P42" s="20"/>
      <c r="Q42" s="18"/>
      <c r="R42" s="18"/>
      <c r="S42" s="18"/>
      <c r="T42" s="20"/>
      <c r="U42" s="20"/>
      <c r="V42" s="20"/>
    </row>
    <row r="43" spans="1:22" x14ac:dyDescent="0.25">
      <c r="A43" s="219"/>
      <c r="B43" s="3"/>
      <c r="C43" s="18"/>
      <c r="D43" s="18"/>
      <c r="E43" s="18"/>
      <c r="F43" s="18"/>
      <c r="G43" s="18"/>
      <c r="H43" s="18"/>
      <c r="I43" s="18"/>
      <c r="J43" s="18"/>
      <c r="K43" s="18"/>
      <c r="L43" s="18"/>
      <c r="M43" s="18"/>
      <c r="N43" s="18"/>
      <c r="O43" s="18"/>
      <c r="P43" s="20"/>
      <c r="Q43" s="18"/>
      <c r="R43" s="18"/>
      <c r="S43" s="18"/>
      <c r="T43" s="20"/>
      <c r="U43" s="20"/>
      <c r="V43" s="20"/>
    </row>
    <row r="44" spans="1:22" x14ac:dyDescent="0.25">
      <c r="A44" s="219"/>
      <c r="B44" s="3"/>
      <c r="C44" s="18"/>
      <c r="D44" s="18"/>
      <c r="E44" s="18"/>
      <c r="F44" s="18"/>
      <c r="G44" s="18"/>
      <c r="H44" s="18"/>
      <c r="I44" s="18"/>
      <c r="J44" s="18"/>
      <c r="K44" s="18"/>
      <c r="L44" s="18"/>
      <c r="M44" s="18"/>
      <c r="N44" s="18"/>
      <c r="O44" s="18"/>
      <c r="P44" s="20"/>
      <c r="Q44" s="18"/>
      <c r="R44" s="18"/>
      <c r="S44" s="18"/>
      <c r="T44" s="20"/>
      <c r="U44" s="20"/>
      <c r="V44" s="20"/>
    </row>
    <row r="45" spans="1:22" x14ac:dyDescent="0.25">
      <c r="A45" s="219"/>
      <c r="B45" s="3"/>
      <c r="C45" s="18"/>
      <c r="D45" s="18"/>
      <c r="E45" s="18"/>
      <c r="F45" s="18"/>
      <c r="G45" s="18"/>
      <c r="H45" s="18"/>
      <c r="I45" s="18"/>
      <c r="J45" s="18"/>
      <c r="K45" s="18"/>
      <c r="L45" s="18"/>
      <c r="M45" s="18"/>
      <c r="N45" s="18"/>
      <c r="O45" s="18"/>
      <c r="P45" s="20"/>
      <c r="Q45" s="18"/>
      <c r="R45" s="18"/>
      <c r="S45" s="18"/>
      <c r="T45" s="20"/>
      <c r="U45" s="20"/>
      <c r="V45" s="20"/>
    </row>
    <row r="46" spans="1:22" x14ac:dyDescent="0.25">
      <c r="A46" s="219"/>
      <c r="B46" s="3"/>
      <c r="C46" s="18"/>
      <c r="D46" s="18"/>
      <c r="E46" s="18"/>
      <c r="F46" s="18"/>
      <c r="G46" s="18"/>
      <c r="H46" s="18"/>
      <c r="I46" s="18"/>
      <c r="J46" s="18"/>
      <c r="K46" s="18"/>
      <c r="L46" s="18"/>
      <c r="M46" s="18"/>
      <c r="N46" s="18"/>
      <c r="O46" s="18"/>
      <c r="P46" s="20"/>
      <c r="Q46" s="18"/>
      <c r="R46" s="18"/>
      <c r="S46" s="18"/>
      <c r="T46" s="20"/>
      <c r="U46" s="20"/>
      <c r="V46" s="20"/>
    </row>
    <row r="47" spans="1:22" x14ac:dyDescent="0.25">
      <c r="A47" s="219"/>
      <c r="B47" s="3"/>
      <c r="C47" s="18"/>
      <c r="D47" s="18"/>
      <c r="E47" s="18"/>
      <c r="F47" s="18"/>
      <c r="G47" s="18"/>
      <c r="H47" s="18"/>
      <c r="I47" s="18"/>
      <c r="J47" s="18"/>
      <c r="K47" s="18"/>
      <c r="L47" s="18"/>
      <c r="M47" s="18"/>
      <c r="N47" s="18"/>
      <c r="O47" s="18"/>
      <c r="P47" s="20"/>
      <c r="Q47" s="18"/>
      <c r="R47" s="18"/>
      <c r="S47" s="18"/>
      <c r="T47" s="20"/>
      <c r="U47" s="20"/>
      <c r="V47" s="20"/>
    </row>
    <row r="48" spans="1:22" x14ac:dyDescent="0.25">
      <c r="A48" s="219"/>
      <c r="B48" s="3"/>
      <c r="C48" s="18"/>
      <c r="D48" s="18"/>
      <c r="E48" s="18"/>
      <c r="F48" s="18"/>
      <c r="G48" s="18"/>
      <c r="H48" s="18"/>
      <c r="I48" s="18"/>
      <c r="J48" s="18"/>
      <c r="K48" s="18"/>
      <c r="L48" s="18"/>
      <c r="M48" s="18"/>
      <c r="N48" s="18"/>
      <c r="O48" s="18"/>
      <c r="P48" s="20"/>
      <c r="Q48" s="18"/>
      <c r="R48" s="18"/>
      <c r="S48" s="18"/>
      <c r="T48" s="20"/>
      <c r="U48" s="20"/>
      <c r="V48" s="20"/>
    </row>
    <row r="49" spans="1:22" x14ac:dyDescent="0.25">
      <c r="A49" s="219"/>
      <c r="B49" s="3"/>
      <c r="C49" s="18"/>
      <c r="D49" s="18"/>
      <c r="E49" s="18"/>
      <c r="F49" s="18"/>
      <c r="G49" s="18"/>
      <c r="H49" s="18"/>
      <c r="I49" s="18"/>
      <c r="J49" s="18"/>
      <c r="K49" s="18"/>
      <c r="L49" s="18"/>
      <c r="M49" s="18"/>
      <c r="N49" s="18"/>
      <c r="O49" s="18"/>
      <c r="P49" s="20"/>
      <c r="Q49" s="18"/>
      <c r="R49" s="18"/>
      <c r="S49" s="18"/>
      <c r="T49" s="20"/>
      <c r="U49" s="20"/>
      <c r="V49" s="20"/>
    </row>
    <row r="50" spans="1:22" x14ac:dyDescent="0.25">
      <c r="A50" s="219"/>
      <c r="B50" s="3"/>
      <c r="C50" s="18"/>
      <c r="D50" s="18"/>
      <c r="E50" s="18"/>
      <c r="F50" s="18"/>
      <c r="G50" s="18"/>
      <c r="H50" s="18"/>
      <c r="I50" s="18"/>
      <c r="J50" s="18"/>
      <c r="K50" s="18"/>
      <c r="L50" s="18"/>
      <c r="M50" s="18"/>
      <c r="N50" s="18"/>
      <c r="O50" s="18"/>
      <c r="P50" s="20"/>
      <c r="Q50" s="18"/>
      <c r="R50" s="18"/>
      <c r="S50" s="18"/>
      <c r="T50" s="20"/>
      <c r="U50" s="20"/>
      <c r="V50" s="20"/>
    </row>
    <row r="51" spans="1:22" x14ac:dyDescent="0.25">
      <c r="A51" s="219"/>
      <c r="B51" s="3"/>
      <c r="C51" s="18"/>
      <c r="D51" s="18"/>
      <c r="E51" s="18"/>
      <c r="F51" s="18"/>
      <c r="G51" s="18"/>
      <c r="H51" s="18"/>
      <c r="I51" s="18"/>
      <c r="J51" s="18"/>
      <c r="K51" s="18"/>
      <c r="L51" s="18"/>
      <c r="M51" s="18"/>
      <c r="N51" s="18"/>
      <c r="O51" s="18"/>
      <c r="P51" s="20"/>
      <c r="Q51" s="18"/>
      <c r="R51" s="18"/>
      <c r="S51" s="18"/>
      <c r="T51" s="20"/>
      <c r="U51" s="20"/>
      <c r="V51" s="20"/>
    </row>
    <row r="52" spans="1:22" x14ac:dyDescent="0.25">
      <c r="A52" s="219"/>
      <c r="B52" s="3"/>
      <c r="C52" s="18"/>
      <c r="D52" s="18"/>
      <c r="E52" s="18"/>
      <c r="F52" s="18"/>
      <c r="G52" s="18"/>
      <c r="H52" s="18"/>
      <c r="I52" s="18"/>
      <c r="J52" s="18"/>
      <c r="K52" s="18"/>
      <c r="L52" s="18"/>
      <c r="M52" s="18"/>
      <c r="N52" s="18"/>
      <c r="O52" s="18"/>
      <c r="P52" s="20"/>
      <c r="Q52" s="18"/>
      <c r="R52" s="18"/>
      <c r="S52" s="18"/>
      <c r="T52" s="20"/>
      <c r="U52" s="20"/>
      <c r="V52" s="20"/>
    </row>
    <row r="53" spans="1:22" x14ac:dyDescent="0.25">
      <c r="A53" s="219"/>
      <c r="B53" s="3"/>
      <c r="C53" s="18"/>
      <c r="D53" s="18"/>
      <c r="E53" s="18"/>
      <c r="F53" s="18"/>
      <c r="G53" s="18"/>
      <c r="H53" s="18"/>
      <c r="I53" s="18"/>
      <c r="J53" s="18"/>
      <c r="K53" s="18"/>
      <c r="L53" s="18"/>
      <c r="M53" s="18"/>
      <c r="N53" s="18"/>
      <c r="O53" s="18"/>
      <c r="P53" s="20"/>
      <c r="Q53" s="18"/>
      <c r="R53" s="18"/>
      <c r="S53" s="18"/>
      <c r="T53" s="20"/>
      <c r="U53" s="20"/>
      <c r="V53" s="20"/>
    </row>
    <row r="54" spans="1:22" x14ac:dyDescent="0.25">
      <c r="A54" s="219"/>
      <c r="B54" s="3"/>
      <c r="C54" s="18"/>
      <c r="D54" s="18"/>
      <c r="E54" s="18"/>
      <c r="F54" s="18"/>
      <c r="G54" s="18"/>
      <c r="H54" s="18"/>
      <c r="I54" s="18"/>
      <c r="J54" s="18"/>
      <c r="K54" s="18"/>
      <c r="L54" s="18"/>
      <c r="M54" s="18"/>
      <c r="N54" s="18"/>
      <c r="O54" s="18"/>
      <c r="P54" s="20"/>
      <c r="Q54" s="18"/>
      <c r="R54" s="18"/>
      <c r="S54" s="18"/>
      <c r="T54" s="20"/>
      <c r="U54" s="20"/>
      <c r="V54" s="20"/>
    </row>
    <row r="55" spans="1:22" x14ac:dyDescent="0.25">
      <c r="A55" s="219"/>
      <c r="B55" s="3"/>
      <c r="C55" s="18"/>
      <c r="D55" s="18"/>
      <c r="E55" s="18"/>
      <c r="F55" s="18"/>
      <c r="G55" s="18"/>
      <c r="H55" s="18"/>
      <c r="I55" s="18"/>
      <c r="J55" s="18"/>
      <c r="K55" s="18"/>
      <c r="L55" s="18"/>
      <c r="M55" s="18"/>
      <c r="N55" s="18"/>
      <c r="O55" s="18"/>
      <c r="P55" s="20"/>
      <c r="Q55" s="18"/>
      <c r="R55" s="18"/>
      <c r="S55" s="18"/>
      <c r="T55" s="20"/>
      <c r="U55" s="20"/>
      <c r="V55" s="20"/>
    </row>
    <row r="56" spans="1:22" x14ac:dyDescent="0.25">
      <c r="A56" s="219"/>
      <c r="B56" s="3"/>
      <c r="C56" s="18"/>
      <c r="D56" s="18"/>
      <c r="E56" s="18"/>
      <c r="F56" s="18"/>
      <c r="G56" s="18"/>
      <c r="H56" s="18"/>
      <c r="I56" s="18"/>
      <c r="J56" s="18"/>
      <c r="K56" s="18"/>
      <c r="L56" s="18"/>
      <c r="M56" s="18"/>
      <c r="N56" s="18"/>
      <c r="O56" s="18"/>
      <c r="P56" s="20"/>
      <c r="Q56" s="18"/>
      <c r="R56" s="18"/>
      <c r="S56" s="18"/>
      <c r="T56" s="20"/>
      <c r="U56" s="20"/>
      <c r="V56" s="20"/>
    </row>
    <row r="57" spans="1:22" x14ac:dyDescent="0.25">
      <c r="A57" s="219"/>
      <c r="B57" s="3"/>
      <c r="C57" s="18"/>
      <c r="D57" s="18"/>
      <c r="E57" s="18"/>
      <c r="F57" s="18"/>
      <c r="G57" s="18"/>
      <c r="H57" s="18"/>
      <c r="I57" s="18"/>
      <c r="J57" s="18"/>
      <c r="K57" s="18"/>
      <c r="L57" s="18"/>
      <c r="M57" s="18"/>
      <c r="N57" s="18"/>
      <c r="O57" s="18"/>
      <c r="P57" s="20"/>
      <c r="Q57" s="18"/>
      <c r="R57" s="18"/>
      <c r="S57" s="18"/>
      <c r="T57" s="20"/>
      <c r="U57" s="20"/>
      <c r="V57" s="20"/>
    </row>
    <row r="58" spans="1:22" x14ac:dyDescent="0.25">
      <c r="A58" s="219"/>
      <c r="B58" s="3"/>
      <c r="C58" s="18"/>
      <c r="D58" s="18"/>
      <c r="E58" s="18"/>
      <c r="F58" s="18"/>
      <c r="G58" s="18"/>
      <c r="H58" s="18"/>
      <c r="I58" s="18"/>
      <c r="J58" s="18"/>
      <c r="K58" s="18"/>
      <c r="L58" s="18"/>
      <c r="M58" s="18"/>
      <c r="N58" s="18"/>
      <c r="O58" s="18"/>
      <c r="P58" s="3"/>
      <c r="Q58" s="18"/>
      <c r="R58" s="18"/>
      <c r="S58" s="18"/>
      <c r="T58" s="3"/>
      <c r="U58" s="3"/>
      <c r="V58" s="3"/>
    </row>
    <row r="59" spans="1:22" x14ac:dyDescent="0.25">
      <c r="A59" s="219"/>
      <c r="B59" s="3"/>
      <c r="C59" s="18"/>
      <c r="D59" s="18"/>
      <c r="E59" s="18"/>
      <c r="F59" s="18"/>
      <c r="G59" s="18"/>
      <c r="H59" s="18"/>
      <c r="I59" s="18"/>
      <c r="J59" s="18"/>
      <c r="K59" s="18"/>
      <c r="L59" s="18"/>
      <c r="M59" s="18"/>
      <c r="N59" s="18"/>
      <c r="O59" s="18"/>
      <c r="P59" s="3"/>
      <c r="Q59" s="18"/>
      <c r="R59" s="18"/>
      <c r="S59" s="18"/>
      <c r="T59" s="3"/>
      <c r="U59" s="3"/>
      <c r="V59" s="3"/>
    </row>
    <row r="60" spans="1:22" x14ac:dyDescent="0.25">
      <c r="A60" s="219"/>
      <c r="B60" s="3"/>
      <c r="C60" s="18"/>
      <c r="D60" s="18"/>
      <c r="E60" s="18"/>
      <c r="F60" s="18"/>
      <c r="G60" s="18"/>
      <c r="H60" s="18"/>
      <c r="I60" s="18"/>
      <c r="J60" s="18"/>
      <c r="K60" s="18"/>
      <c r="L60" s="18"/>
      <c r="M60" s="18"/>
      <c r="N60" s="18"/>
      <c r="O60" s="18"/>
      <c r="P60" s="3"/>
      <c r="Q60" s="18"/>
      <c r="R60" s="18"/>
      <c r="S60" s="18"/>
      <c r="T60" s="3"/>
      <c r="U60" s="3"/>
      <c r="V60" s="3"/>
    </row>
    <row r="61" spans="1:22" x14ac:dyDescent="0.25">
      <c r="A61" s="219"/>
      <c r="B61" s="3"/>
      <c r="C61" s="18"/>
      <c r="D61" s="18"/>
      <c r="E61" s="18"/>
      <c r="F61" s="18"/>
      <c r="G61" s="18"/>
      <c r="H61" s="18"/>
      <c r="I61" s="18"/>
      <c r="J61" s="18"/>
      <c r="K61" s="18"/>
      <c r="L61" s="18"/>
      <c r="M61" s="18"/>
      <c r="N61" s="18"/>
      <c r="O61" s="18"/>
      <c r="P61" s="3"/>
      <c r="Q61" s="18"/>
      <c r="R61" s="18"/>
      <c r="S61" s="18"/>
      <c r="T61" s="3"/>
      <c r="U61" s="3"/>
      <c r="V61" s="3"/>
    </row>
    <row r="62" spans="1:22" x14ac:dyDescent="0.25">
      <c r="A62" s="219"/>
      <c r="B62" s="3"/>
      <c r="C62" s="18"/>
      <c r="D62" s="18"/>
      <c r="E62" s="18"/>
      <c r="F62" s="18"/>
      <c r="G62" s="18"/>
      <c r="H62" s="18"/>
      <c r="I62" s="18"/>
      <c r="J62" s="18"/>
      <c r="K62" s="18"/>
      <c r="L62" s="18"/>
      <c r="M62" s="18"/>
      <c r="N62" s="18"/>
      <c r="O62" s="18"/>
      <c r="P62" s="3"/>
      <c r="Q62" s="18"/>
      <c r="R62" s="18"/>
      <c r="S62" s="18"/>
      <c r="T62" s="3"/>
      <c r="U62" s="3"/>
      <c r="V62" s="3"/>
    </row>
    <row r="63" spans="1:22" x14ac:dyDescent="0.25">
      <c r="A63" s="219"/>
      <c r="B63" s="3"/>
      <c r="C63" s="18"/>
      <c r="D63" s="18"/>
      <c r="E63" s="18"/>
      <c r="F63" s="18"/>
      <c r="G63" s="18"/>
      <c r="H63" s="18"/>
      <c r="I63" s="18"/>
      <c r="J63" s="18"/>
      <c r="K63" s="18"/>
      <c r="L63" s="18"/>
      <c r="M63" s="18"/>
      <c r="N63" s="18"/>
      <c r="O63" s="18"/>
      <c r="P63" s="3"/>
      <c r="Q63" s="18"/>
      <c r="R63" s="18"/>
      <c r="S63" s="18"/>
      <c r="T63" s="3"/>
      <c r="U63" s="3"/>
      <c r="V63" s="3"/>
    </row>
    <row r="64" spans="1:22" x14ac:dyDescent="0.25">
      <c r="A64" s="219"/>
      <c r="B64" s="3"/>
      <c r="C64" s="18"/>
      <c r="D64" s="18"/>
      <c r="E64" s="18"/>
      <c r="F64" s="18"/>
      <c r="G64" s="18"/>
      <c r="H64" s="18"/>
      <c r="I64" s="18"/>
      <c r="J64" s="18"/>
      <c r="K64" s="18"/>
      <c r="L64" s="18"/>
      <c r="M64" s="18"/>
      <c r="N64" s="18"/>
      <c r="O64" s="18"/>
      <c r="P64" s="3"/>
      <c r="Q64" s="18"/>
      <c r="R64" s="18"/>
      <c r="S64" s="18"/>
      <c r="T64" s="3"/>
      <c r="U64" s="3"/>
      <c r="V64" s="3"/>
    </row>
    <row r="65" spans="1:22" x14ac:dyDescent="0.25">
      <c r="A65" s="219"/>
      <c r="B65" s="3"/>
      <c r="C65" s="18"/>
      <c r="D65" s="18"/>
      <c r="E65" s="18"/>
      <c r="F65" s="18"/>
      <c r="G65" s="18"/>
      <c r="H65" s="18"/>
      <c r="I65" s="18"/>
      <c r="J65" s="18"/>
      <c r="K65" s="18"/>
      <c r="L65" s="18"/>
      <c r="M65" s="18"/>
      <c r="N65" s="18"/>
      <c r="O65" s="18"/>
      <c r="P65" s="3"/>
      <c r="Q65" s="18"/>
      <c r="R65" s="18"/>
      <c r="S65" s="18"/>
      <c r="T65" s="3"/>
      <c r="U65" s="3"/>
      <c r="V65" s="3"/>
    </row>
    <row r="66" spans="1:22" x14ac:dyDescent="0.25">
      <c r="A66" s="219"/>
      <c r="B66" s="3"/>
      <c r="C66" s="18"/>
      <c r="D66" s="18"/>
      <c r="E66" s="18"/>
      <c r="F66" s="18"/>
      <c r="G66" s="18"/>
      <c r="H66" s="18"/>
      <c r="I66" s="18"/>
      <c r="J66" s="18"/>
      <c r="K66" s="18"/>
      <c r="L66" s="18"/>
      <c r="M66" s="18"/>
      <c r="N66" s="18"/>
      <c r="O66" s="18"/>
      <c r="P66" s="3"/>
      <c r="Q66" s="18"/>
      <c r="R66" s="18"/>
      <c r="S66" s="18"/>
      <c r="T66" s="3"/>
      <c r="U66" s="3"/>
      <c r="V66" s="3"/>
    </row>
    <row r="67" spans="1:22" x14ac:dyDescent="0.25">
      <c r="A67" s="219"/>
      <c r="B67" s="3"/>
      <c r="C67" s="18"/>
      <c r="D67" s="18"/>
      <c r="E67" s="18"/>
      <c r="F67" s="18"/>
      <c r="G67" s="18"/>
      <c r="H67" s="18"/>
      <c r="I67" s="18"/>
      <c r="J67" s="18"/>
      <c r="K67" s="18"/>
      <c r="L67" s="18"/>
      <c r="M67" s="18"/>
      <c r="N67" s="18"/>
      <c r="O67" s="18"/>
      <c r="P67" s="3"/>
      <c r="Q67" s="18"/>
      <c r="R67" s="18"/>
      <c r="S67" s="18"/>
      <c r="T67" s="3"/>
      <c r="U67" s="3"/>
      <c r="V67" s="3"/>
    </row>
    <row r="68" spans="1:22" x14ac:dyDescent="0.25">
      <c r="A68" s="219"/>
      <c r="B68" s="3"/>
      <c r="C68" s="18"/>
      <c r="D68" s="18"/>
      <c r="E68" s="18"/>
      <c r="F68" s="18"/>
      <c r="G68" s="18"/>
      <c r="H68" s="18"/>
      <c r="I68" s="18"/>
      <c r="J68" s="18"/>
      <c r="K68" s="18"/>
      <c r="L68" s="18"/>
      <c r="M68" s="18"/>
      <c r="N68" s="18"/>
      <c r="O68" s="18"/>
      <c r="P68" s="3"/>
      <c r="Q68" s="18"/>
      <c r="R68" s="18"/>
      <c r="S68" s="18"/>
      <c r="T68" s="3"/>
      <c r="U68" s="3"/>
      <c r="V68" s="3"/>
    </row>
    <row r="69" spans="1:22" x14ac:dyDescent="0.25">
      <c r="A69" s="219"/>
      <c r="B69" s="3"/>
      <c r="C69" s="18"/>
      <c r="D69" s="18"/>
      <c r="E69" s="18"/>
      <c r="F69" s="18"/>
      <c r="G69" s="18"/>
      <c r="H69" s="18"/>
      <c r="I69" s="18"/>
      <c r="J69" s="18"/>
      <c r="K69" s="18"/>
      <c r="L69" s="18"/>
      <c r="M69" s="18"/>
      <c r="N69" s="18"/>
      <c r="O69" s="18"/>
      <c r="P69" s="3"/>
      <c r="Q69" s="18"/>
      <c r="R69" s="18"/>
      <c r="S69" s="18"/>
      <c r="T69" s="3"/>
      <c r="U69" s="3"/>
      <c r="V69" s="3"/>
    </row>
    <row r="70" spans="1:22" x14ac:dyDescent="0.25">
      <c r="A70" s="219"/>
      <c r="B70" s="3"/>
      <c r="C70" s="18"/>
      <c r="D70" s="18"/>
      <c r="E70" s="18"/>
      <c r="F70" s="18"/>
      <c r="G70" s="18"/>
      <c r="H70" s="18"/>
      <c r="I70" s="18"/>
      <c r="J70" s="18"/>
      <c r="K70" s="18"/>
      <c r="L70" s="18"/>
      <c r="M70" s="18"/>
      <c r="N70" s="18"/>
      <c r="O70" s="18"/>
      <c r="P70" s="3"/>
      <c r="Q70" s="18"/>
      <c r="R70" s="18"/>
      <c r="S70" s="18"/>
      <c r="T70" s="3"/>
      <c r="U70" s="3"/>
      <c r="V70" s="3"/>
    </row>
    <row r="71" spans="1:22" x14ac:dyDescent="0.25">
      <c r="A71" s="219"/>
      <c r="B71" s="3"/>
      <c r="C71" s="18"/>
      <c r="D71" s="18"/>
      <c r="E71" s="18"/>
      <c r="F71" s="18"/>
      <c r="G71" s="18"/>
      <c r="H71" s="18"/>
      <c r="I71" s="18"/>
      <c r="J71" s="18"/>
      <c r="K71" s="18"/>
      <c r="L71" s="18"/>
      <c r="M71" s="18"/>
      <c r="N71" s="18"/>
      <c r="O71" s="18"/>
      <c r="P71" s="3"/>
      <c r="Q71" s="18"/>
      <c r="R71" s="18"/>
      <c r="S71" s="18"/>
      <c r="T71" s="3"/>
      <c r="U71" s="3"/>
      <c r="V71" s="3"/>
    </row>
    <row r="72" spans="1:22" x14ac:dyDescent="0.25">
      <c r="A72" s="219"/>
      <c r="B72" s="3"/>
      <c r="C72" s="18"/>
      <c r="D72" s="18"/>
      <c r="E72" s="18"/>
      <c r="F72" s="18"/>
      <c r="G72" s="18"/>
      <c r="H72" s="18"/>
      <c r="I72" s="18"/>
      <c r="J72" s="18"/>
      <c r="K72" s="18"/>
      <c r="L72" s="18"/>
      <c r="M72" s="18"/>
      <c r="N72" s="18"/>
      <c r="O72" s="18"/>
      <c r="P72" s="3"/>
      <c r="Q72" s="18"/>
      <c r="R72" s="18"/>
      <c r="S72" s="18"/>
      <c r="T72" s="3"/>
      <c r="U72" s="3"/>
      <c r="V72" s="3"/>
    </row>
    <row r="73" spans="1:22" x14ac:dyDescent="0.25">
      <c r="A73" s="219"/>
      <c r="B73" s="3"/>
      <c r="C73" s="18"/>
      <c r="D73" s="18"/>
      <c r="E73" s="18"/>
      <c r="F73" s="18"/>
      <c r="G73" s="18"/>
      <c r="H73" s="18"/>
      <c r="I73" s="18"/>
      <c r="J73" s="18"/>
      <c r="K73" s="18"/>
      <c r="L73" s="18"/>
      <c r="M73" s="18"/>
      <c r="N73" s="18"/>
      <c r="O73" s="18"/>
      <c r="P73" s="3"/>
      <c r="Q73" s="18"/>
      <c r="R73" s="18"/>
      <c r="S73" s="18"/>
      <c r="T73" s="3"/>
      <c r="U73" s="3"/>
      <c r="V73" s="3"/>
    </row>
    <row r="74" spans="1:22" x14ac:dyDescent="0.25">
      <c r="A74" s="219"/>
      <c r="B74" s="3"/>
      <c r="C74" s="18"/>
      <c r="D74" s="18"/>
      <c r="E74" s="18"/>
      <c r="F74" s="18"/>
      <c r="G74" s="18"/>
      <c r="H74" s="18"/>
      <c r="I74" s="18"/>
      <c r="J74" s="18"/>
      <c r="K74" s="18"/>
      <c r="L74" s="18"/>
      <c r="M74" s="18"/>
      <c r="N74" s="18"/>
      <c r="O74" s="18"/>
      <c r="P74" s="3"/>
      <c r="Q74" s="18"/>
      <c r="R74" s="18"/>
      <c r="S74" s="18"/>
      <c r="T74" s="3"/>
      <c r="U74" s="3"/>
      <c r="V74" s="3"/>
    </row>
    <row r="75" spans="1:22" x14ac:dyDescent="0.25">
      <c r="A75" s="219"/>
      <c r="B75" s="3"/>
      <c r="C75" s="18"/>
      <c r="D75" s="18"/>
      <c r="E75" s="18"/>
      <c r="F75" s="18"/>
      <c r="G75" s="18"/>
      <c r="H75" s="18"/>
      <c r="I75" s="18"/>
      <c r="J75" s="18"/>
      <c r="K75" s="18"/>
      <c r="L75" s="18"/>
      <c r="M75" s="18"/>
      <c r="N75" s="18"/>
      <c r="O75" s="18"/>
      <c r="P75" s="3"/>
      <c r="Q75" s="18"/>
      <c r="R75" s="18"/>
      <c r="S75" s="18"/>
      <c r="T75" s="3"/>
      <c r="U75" s="3"/>
      <c r="V75" s="3"/>
    </row>
    <row r="76" spans="1:22" x14ac:dyDescent="0.25">
      <c r="A76" s="219"/>
      <c r="B76" s="3"/>
      <c r="C76" s="18"/>
      <c r="D76" s="18"/>
      <c r="E76" s="18"/>
      <c r="F76" s="18"/>
      <c r="G76" s="18"/>
      <c r="H76" s="18"/>
      <c r="I76" s="18"/>
      <c r="J76" s="18"/>
      <c r="K76" s="18"/>
      <c r="L76" s="18"/>
      <c r="M76" s="18"/>
      <c r="N76" s="18"/>
      <c r="O76" s="18"/>
      <c r="P76" s="3"/>
      <c r="Q76" s="18"/>
      <c r="R76" s="18"/>
      <c r="S76" s="18"/>
      <c r="T76" s="3"/>
      <c r="U76" s="3"/>
      <c r="V76" s="3"/>
    </row>
    <row r="77" spans="1:22" x14ac:dyDescent="0.25">
      <c r="A77" s="219"/>
      <c r="B77" s="3"/>
      <c r="C77" s="18"/>
      <c r="D77" s="18"/>
      <c r="E77" s="18"/>
      <c r="F77" s="18"/>
      <c r="G77" s="18"/>
      <c r="H77" s="18"/>
      <c r="I77" s="18"/>
      <c r="J77" s="18"/>
      <c r="K77" s="18"/>
      <c r="L77" s="18"/>
      <c r="M77" s="18"/>
      <c r="N77" s="18"/>
      <c r="O77" s="18"/>
      <c r="P77" s="3"/>
      <c r="Q77" s="18"/>
      <c r="R77" s="18"/>
      <c r="S77" s="18"/>
      <c r="T77" s="3"/>
      <c r="U77" s="3"/>
      <c r="V77" s="3"/>
    </row>
    <row r="78" spans="1:22" x14ac:dyDescent="0.25">
      <c r="A78" s="219"/>
      <c r="B78" s="3"/>
      <c r="C78" s="18"/>
      <c r="D78" s="18"/>
      <c r="E78" s="18"/>
      <c r="F78" s="18"/>
      <c r="G78" s="18"/>
      <c r="H78" s="18"/>
      <c r="I78" s="18"/>
      <c r="J78" s="18"/>
      <c r="K78" s="18"/>
      <c r="L78" s="18"/>
      <c r="M78" s="18"/>
      <c r="N78" s="18"/>
      <c r="O78" s="18"/>
      <c r="P78" s="3"/>
      <c r="Q78" s="18"/>
      <c r="R78" s="18"/>
      <c r="S78" s="18"/>
      <c r="T78" s="3"/>
      <c r="U78" s="3"/>
      <c r="V78" s="3"/>
    </row>
    <row r="79" spans="1:22" x14ac:dyDescent="0.25">
      <c r="A79" s="219"/>
      <c r="B79" s="3"/>
      <c r="C79" s="18"/>
      <c r="D79" s="18"/>
      <c r="E79" s="18"/>
      <c r="F79" s="18"/>
      <c r="G79" s="18"/>
      <c r="H79" s="18"/>
      <c r="I79" s="18"/>
      <c r="J79" s="18"/>
      <c r="K79" s="18"/>
      <c r="L79" s="18"/>
      <c r="M79" s="18"/>
      <c r="N79" s="18"/>
      <c r="O79" s="18"/>
      <c r="P79" s="3"/>
      <c r="Q79" s="18"/>
      <c r="R79" s="18"/>
      <c r="S79" s="18"/>
      <c r="T79" s="3"/>
      <c r="U79" s="3"/>
      <c r="V79" s="3"/>
    </row>
    <row r="80" spans="1:22" x14ac:dyDescent="0.25">
      <c r="A80" s="219"/>
      <c r="B80" s="3"/>
      <c r="C80" s="18"/>
      <c r="D80" s="18"/>
      <c r="E80" s="18"/>
      <c r="F80" s="18"/>
      <c r="G80" s="18"/>
      <c r="H80" s="18"/>
      <c r="I80" s="18"/>
      <c r="J80" s="18"/>
      <c r="K80" s="18"/>
      <c r="L80" s="18"/>
      <c r="M80" s="18"/>
      <c r="N80" s="18"/>
      <c r="O80" s="18"/>
      <c r="P80" s="3"/>
      <c r="Q80" s="18"/>
      <c r="R80" s="18"/>
      <c r="S80" s="18"/>
      <c r="T80" s="3"/>
      <c r="U80" s="3"/>
      <c r="V80" s="3"/>
    </row>
    <row r="81" spans="1:22" x14ac:dyDescent="0.25">
      <c r="A81" s="219"/>
      <c r="B81" s="3"/>
      <c r="C81" s="18"/>
      <c r="D81" s="18"/>
      <c r="E81" s="18"/>
      <c r="F81" s="18"/>
      <c r="G81" s="18"/>
      <c r="H81" s="18"/>
      <c r="I81" s="18"/>
      <c r="J81" s="18"/>
      <c r="K81" s="18"/>
      <c r="L81" s="18"/>
      <c r="M81" s="18"/>
      <c r="N81" s="18"/>
      <c r="O81" s="18"/>
      <c r="P81" s="3"/>
      <c r="Q81" s="18"/>
      <c r="R81" s="18"/>
      <c r="S81" s="18"/>
      <c r="T81" s="3"/>
      <c r="U81" s="3"/>
      <c r="V81" s="3"/>
    </row>
    <row r="82" spans="1:22" x14ac:dyDescent="0.25">
      <c r="A82" s="219"/>
      <c r="B82" s="3"/>
      <c r="C82" s="18"/>
      <c r="D82" s="18"/>
      <c r="E82" s="18"/>
      <c r="F82" s="18"/>
      <c r="G82" s="18"/>
      <c r="H82" s="18"/>
      <c r="I82" s="18"/>
      <c r="J82" s="18"/>
      <c r="K82" s="18"/>
      <c r="L82" s="18"/>
      <c r="M82" s="18"/>
      <c r="N82" s="18"/>
      <c r="O82" s="18"/>
      <c r="P82" s="3"/>
      <c r="Q82" s="18"/>
      <c r="R82" s="18"/>
      <c r="S82" s="18"/>
      <c r="T82" s="3"/>
      <c r="U82" s="3"/>
      <c r="V82" s="3"/>
    </row>
    <row r="83" spans="1:22" x14ac:dyDescent="0.25">
      <c r="A83" s="219"/>
      <c r="B83" s="3"/>
      <c r="C83" s="18"/>
      <c r="D83" s="18"/>
      <c r="E83" s="18"/>
      <c r="F83" s="18"/>
      <c r="G83" s="18"/>
      <c r="H83" s="18"/>
      <c r="I83" s="18"/>
      <c r="J83" s="18"/>
      <c r="K83" s="18"/>
      <c r="L83" s="18"/>
      <c r="M83" s="18"/>
      <c r="N83" s="18"/>
      <c r="O83" s="18"/>
      <c r="P83" s="3"/>
      <c r="Q83" s="18"/>
      <c r="R83" s="18"/>
      <c r="S83" s="18"/>
      <c r="T83" s="3"/>
      <c r="U83" s="3"/>
      <c r="V83" s="3"/>
    </row>
    <row r="84" spans="1:22" x14ac:dyDescent="0.25">
      <c r="A84" s="219"/>
      <c r="B84" s="3"/>
      <c r="C84" s="18"/>
      <c r="D84" s="18"/>
      <c r="E84" s="18"/>
      <c r="F84" s="18"/>
      <c r="G84" s="18"/>
      <c r="H84" s="18"/>
      <c r="I84" s="18"/>
      <c r="J84" s="18"/>
      <c r="K84" s="18"/>
      <c r="L84" s="18"/>
      <c r="M84" s="18"/>
      <c r="N84" s="18"/>
      <c r="O84" s="18"/>
      <c r="P84" s="3"/>
      <c r="Q84" s="18"/>
      <c r="R84" s="18"/>
      <c r="S84" s="18"/>
      <c r="T84" s="3"/>
      <c r="U84" s="3"/>
      <c r="V84" s="3"/>
    </row>
    <row r="85" spans="1:22" x14ac:dyDescent="0.25">
      <c r="A85" s="219"/>
      <c r="B85" s="3"/>
      <c r="C85" s="18"/>
      <c r="D85" s="18"/>
      <c r="E85" s="18"/>
      <c r="F85" s="18"/>
      <c r="G85" s="18"/>
      <c r="H85" s="18"/>
      <c r="I85" s="18"/>
      <c r="J85" s="18"/>
      <c r="K85" s="18"/>
      <c r="L85" s="18"/>
      <c r="M85" s="18"/>
      <c r="N85" s="18"/>
      <c r="O85" s="18"/>
      <c r="P85" s="3"/>
      <c r="Q85" s="18"/>
      <c r="R85" s="18"/>
      <c r="S85" s="18"/>
      <c r="T85" s="3"/>
      <c r="U85" s="3"/>
      <c r="V85" s="3"/>
    </row>
    <row r="86" spans="1:22" x14ac:dyDescent="0.25">
      <c r="A86" s="219"/>
      <c r="B86" s="3"/>
      <c r="C86" s="18"/>
      <c r="D86" s="18"/>
      <c r="E86" s="18"/>
      <c r="F86" s="18"/>
      <c r="G86" s="18"/>
      <c r="H86" s="18"/>
      <c r="I86" s="18"/>
      <c r="J86" s="18"/>
      <c r="K86" s="18"/>
      <c r="L86" s="18"/>
      <c r="M86" s="18"/>
      <c r="N86" s="18"/>
      <c r="O86" s="18"/>
      <c r="P86" s="3"/>
      <c r="Q86" s="18"/>
      <c r="R86" s="18"/>
      <c r="S86" s="18"/>
      <c r="T86" s="3"/>
      <c r="U86" s="3"/>
      <c r="V86" s="3"/>
    </row>
    <row r="87" spans="1:22" x14ac:dyDescent="0.25">
      <c r="A87" s="219"/>
      <c r="B87" s="3"/>
      <c r="C87" s="18"/>
      <c r="D87" s="18"/>
      <c r="E87" s="18"/>
      <c r="F87" s="18"/>
      <c r="G87" s="18"/>
      <c r="H87" s="18"/>
      <c r="I87" s="18"/>
      <c r="J87" s="18"/>
      <c r="K87" s="18"/>
      <c r="L87" s="18"/>
      <c r="M87" s="18"/>
      <c r="N87" s="18"/>
      <c r="O87" s="18"/>
      <c r="P87" s="3"/>
      <c r="Q87" s="18"/>
      <c r="R87" s="18"/>
      <c r="S87" s="18"/>
      <c r="T87" s="3"/>
      <c r="U87" s="3"/>
      <c r="V87" s="3"/>
    </row>
    <row r="88" spans="1:22" x14ac:dyDescent="0.25">
      <c r="A88" s="219"/>
      <c r="B88" s="3"/>
      <c r="C88" s="18"/>
      <c r="D88" s="18"/>
      <c r="E88" s="18"/>
      <c r="F88" s="18"/>
      <c r="G88" s="18"/>
      <c r="H88" s="18"/>
      <c r="I88" s="18"/>
      <c r="J88" s="18"/>
      <c r="K88" s="18"/>
      <c r="L88" s="18"/>
      <c r="M88" s="18"/>
      <c r="N88" s="18"/>
      <c r="O88" s="18"/>
      <c r="P88" s="3"/>
      <c r="Q88" s="18"/>
      <c r="R88" s="18"/>
      <c r="S88" s="18"/>
      <c r="T88" s="3"/>
      <c r="U88" s="3"/>
      <c r="V88" s="3"/>
    </row>
    <row r="89" spans="1:22" x14ac:dyDescent="0.25">
      <c r="A89" s="219"/>
      <c r="B89" s="3"/>
      <c r="C89" s="18"/>
      <c r="D89" s="18"/>
      <c r="E89" s="18"/>
      <c r="F89" s="18"/>
      <c r="G89" s="18"/>
      <c r="H89" s="18"/>
      <c r="I89" s="18"/>
      <c r="J89" s="18"/>
      <c r="K89" s="18"/>
      <c r="L89" s="18"/>
      <c r="M89" s="18"/>
      <c r="N89" s="18"/>
      <c r="O89" s="18"/>
      <c r="P89" s="3"/>
      <c r="Q89" s="18"/>
      <c r="R89" s="18"/>
      <c r="S89" s="18"/>
      <c r="T89" s="3"/>
      <c r="U89" s="3"/>
      <c r="V89" s="3"/>
    </row>
    <row r="90" spans="1:22" x14ac:dyDescent="0.25">
      <c r="A90" s="219"/>
      <c r="B90" s="3"/>
      <c r="C90" s="18"/>
      <c r="D90" s="18"/>
      <c r="E90" s="18"/>
      <c r="F90" s="18"/>
      <c r="G90" s="18"/>
      <c r="H90" s="18"/>
      <c r="I90" s="18"/>
      <c r="J90" s="18"/>
      <c r="K90" s="18"/>
      <c r="L90" s="18"/>
      <c r="M90" s="18"/>
      <c r="N90" s="18"/>
      <c r="O90" s="18"/>
      <c r="P90" s="3"/>
      <c r="Q90" s="18"/>
      <c r="R90" s="18"/>
      <c r="S90" s="18"/>
      <c r="T90" s="3"/>
      <c r="U90" s="3"/>
      <c r="V90" s="3"/>
    </row>
    <row r="91" spans="1:22" x14ac:dyDescent="0.25">
      <c r="A91" s="219"/>
      <c r="B91" s="3"/>
      <c r="C91" s="18"/>
      <c r="D91" s="18"/>
      <c r="E91" s="18"/>
      <c r="F91" s="18"/>
      <c r="G91" s="18"/>
      <c r="H91" s="18"/>
      <c r="I91" s="18"/>
      <c r="J91" s="18"/>
      <c r="K91" s="18"/>
      <c r="L91" s="18"/>
      <c r="M91" s="18"/>
      <c r="N91" s="18"/>
      <c r="O91" s="18"/>
      <c r="P91" s="3"/>
      <c r="Q91" s="18"/>
      <c r="R91" s="18"/>
      <c r="S91" s="18"/>
      <c r="T91" s="3"/>
      <c r="U91" s="3"/>
      <c r="V91" s="3"/>
    </row>
    <row r="92" spans="1:22" x14ac:dyDescent="0.25">
      <c r="A92" s="219"/>
      <c r="B92" s="3"/>
      <c r="C92" s="18"/>
      <c r="D92" s="18"/>
      <c r="E92" s="18"/>
      <c r="F92" s="18"/>
      <c r="G92" s="18"/>
      <c r="H92" s="18"/>
      <c r="I92" s="18"/>
      <c r="J92" s="18"/>
      <c r="K92" s="18"/>
      <c r="L92" s="18"/>
      <c r="M92" s="18"/>
      <c r="N92" s="18"/>
      <c r="O92" s="18"/>
      <c r="P92" s="3"/>
      <c r="Q92" s="18"/>
      <c r="R92" s="18"/>
      <c r="S92" s="18"/>
      <c r="T92" s="3"/>
      <c r="U92" s="3"/>
      <c r="V92" s="3"/>
    </row>
    <row r="93" spans="1:22" x14ac:dyDescent="0.25">
      <c r="A93" s="219"/>
      <c r="B93" s="3"/>
      <c r="C93" s="18"/>
      <c r="D93" s="18"/>
      <c r="E93" s="18"/>
      <c r="F93" s="18"/>
      <c r="G93" s="18"/>
      <c r="H93" s="18"/>
      <c r="I93" s="18"/>
      <c r="J93" s="18"/>
      <c r="K93" s="18"/>
      <c r="L93" s="18"/>
      <c r="M93" s="18"/>
      <c r="N93" s="18"/>
      <c r="O93" s="18"/>
      <c r="P93" s="3"/>
      <c r="Q93" s="18"/>
      <c r="R93" s="18"/>
      <c r="S93" s="18"/>
      <c r="T93" s="3"/>
      <c r="U93" s="3"/>
      <c r="V93" s="3"/>
    </row>
    <row r="94" spans="1:22" x14ac:dyDescent="0.25">
      <c r="A94" s="219"/>
      <c r="B94" s="3"/>
      <c r="C94" s="18"/>
      <c r="D94" s="18"/>
      <c r="E94" s="18"/>
      <c r="F94" s="18"/>
      <c r="G94" s="18"/>
      <c r="H94" s="18"/>
      <c r="I94" s="18"/>
      <c r="J94" s="18"/>
      <c r="K94" s="18"/>
      <c r="L94" s="18"/>
      <c r="M94" s="18"/>
      <c r="N94" s="18"/>
      <c r="O94" s="18"/>
      <c r="P94" s="3"/>
      <c r="Q94" s="18"/>
      <c r="R94" s="18"/>
      <c r="S94" s="18"/>
      <c r="T94" s="3"/>
      <c r="U94" s="3"/>
      <c r="V94" s="3"/>
    </row>
    <row r="95" spans="1:22" x14ac:dyDescent="0.25">
      <c r="A95" s="219"/>
      <c r="B95" s="3"/>
      <c r="C95" s="18"/>
      <c r="D95" s="18"/>
      <c r="E95" s="18"/>
      <c r="F95" s="18"/>
      <c r="G95" s="18"/>
      <c r="H95" s="18"/>
      <c r="I95" s="18"/>
      <c r="J95" s="18"/>
      <c r="K95" s="18"/>
      <c r="L95" s="18"/>
      <c r="M95" s="18"/>
      <c r="N95" s="18"/>
      <c r="O95" s="18"/>
      <c r="P95" s="3"/>
      <c r="Q95" s="18"/>
      <c r="R95" s="18"/>
      <c r="S95" s="18"/>
      <c r="T95" s="3"/>
      <c r="U95" s="3"/>
      <c r="V95" s="3"/>
    </row>
    <row r="96" spans="1:22" x14ac:dyDescent="0.25">
      <c r="A96" s="219"/>
      <c r="B96" s="3"/>
      <c r="C96" s="18"/>
      <c r="D96" s="18"/>
      <c r="E96" s="18"/>
      <c r="F96" s="18"/>
      <c r="G96" s="18"/>
      <c r="H96" s="18"/>
      <c r="I96" s="18"/>
      <c r="J96" s="18"/>
      <c r="K96" s="18"/>
      <c r="L96" s="18"/>
      <c r="M96" s="18"/>
      <c r="N96" s="18"/>
      <c r="O96" s="18"/>
      <c r="P96" s="3"/>
      <c r="Q96" s="18"/>
      <c r="R96" s="18"/>
      <c r="S96" s="18"/>
      <c r="T96" s="3"/>
      <c r="U96" s="3"/>
      <c r="V96" s="3"/>
    </row>
    <row r="97" spans="1:22" x14ac:dyDescent="0.25">
      <c r="A97" s="219"/>
      <c r="B97" s="3"/>
      <c r="C97" s="18"/>
      <c r="D97" s="18"/>
      <c r="E97" s="18"/>
      <c r="F97" s="18"/>
      <c r="G97" s="18"/>
      <c r="H97" s="18"/>
      <c r="I97" s="18"/>
      <c r="J97" s="18"/>
      <c r="K97" s="18"/>
      <c r="L97" s="18"/>
      <c r="M97" s="18"/>
      <c r="N97" s="18"/>
      <c r="O97" s="18"/>
      <c r="P97" s="3"/>
      <c r="Q97" s="18"/>
      <c r="R97" s="18"/>
      <c r="S97" s="18"/>
      <c r="T97" s="3"/>
      <c r="U97" s="3"/>
      <c r="V97" s="3"/>
    </row>
    <row r="98" spans="1:22" x14ac:dyDescent="0.25">
      <c r="A98" s="219"/>
      <c r="B98" s="3"/>
      <c r="C98" s="18"/>
      <c r="D98" s="18"/>
      <c r="E98" s="18"/>
      <c r="F98" s="18"/>
      <c r="G98" s="18"/>
      <c r="H98" s="18"/>
      <c r="I98" s="18"/>
      <c r="J98" s="18"/>
      <c r="K98" s="18"/>
      <c r="L98" s="18"/>
      <c r="M98" s="18"/>
      <c r="N98" s="18"/>
      <c r="O98" s="18"/>
      <c r="P98" s="3"/>
      <c r="Q98" s="18"/>
      <c r="R98" s="18"/>
      <c r="S98" s="18"/>
      <c r="T98" s="3"/>
      <c r="U98" s="3"/>
      <c r="V98" s="3"/>
    </row>
    <row r="99" spans="1:22" x14ac:dyDescent="0.25">
      <c r="A99" s="219"/>
      <c r="B99" s="3"/>
      <c r="C99" s="18"/>
      <c r="D99" s="18"/>
      <c r="E99" s="18"/>
      <c r="F99" s="18"/>
      <c r="G99" s="18"/>
      <c r="H99" s="18"/>
      <c r="I99" s="18"/>
      <c r="J99" s="18"/>
      <c r="K99" s="18"/>
      <c r="L99" s="18"/>
      <c r="M99" s="18"/>
      <c r="N99" s="18"/>
      <c r="O99" s="18"/>
      <c r="P99" s="3"/>
      <c r="Q99" s="18"/>
      <c r="R99" s="18"/>
      <c r="S99" s="18"/>
      <c r="T99" s="3"/>
      <c r="U99" s="3"/>
      <c r="V99" s="3"/>
    </row>
    <row r="100" spans="1:22" x14ac:dyDescent="0.25">
      <c r="A100" s="219"/>
      <c r="B100" s="3"/>
      <c r="C100" s="18"/>
      <c r="D100" s="18"/>
      <c r="E100" s="18"/>
      <c r="F100" s="18"/>
      <c r="G100" s="18"/>
      <c r="H100" s="18"/>
      <c r="I100" s="18"/>
      <c r="J100" s="18"/>
      <c r="K100" s="18"/>
      <c r="L100" s="18"/>
      <c r="M100" s="18"/>
      <c r="N100" s="18"/>
      <c r="O100" s="18"/>
      <c r="P100" s="3"/>
      <c r="Q100" s="18"/>
      <c r="R100" s="18"/>
      <c r="S100" s="18"/>
      <c r="T100" s="3"/>
      <c r="U100" s="3"/>
      <c r="V100" s="3"/>
    </row>
    <row r="101" spans="1:22" x14ac:dyDescent="0.25">
      <c r="A101" s="219"/>
      <c r="B101" s="3"/>
      <c r="C101" s="18"/>
      <c r="D101" s="18"/>
      <c r="E101" s="18"/>
      <c r="F101" s="18"/>
      <c r="G101" s="18"/>
      <c r="H101" s="18"/>
      <c r="I101" s="18"/>
      <c r="J101" s="18"/>
      <c r="K101" s="18"/>
      <c r="L101" s="18"/>
      <c r="M101" s="18"/>
      <c r="N101" s="18"/>
      <c r="O101" s="18"/>
      <c r="P101" s="3"/>
      <c r="Q101" s="18"/>
      <c r="R101" s="18"/>
      <c r="S101" s="18"/>
      <c r="T101" s="3"/>
      <c r="U101" s="3"/>
      <c r="V101" s="3"/>
    </row>
    <row r="102" spans="1:22" x14ac:dyDescent="0.25">
      <c r="A102" s="219"/>
      <c r="B102" s="3"/>
      <c r="C102" s="18"/>
      <c r="D102" s="18"/>
      <c r="E102" s="18"/>
      <c r="F102" s="18"/>
      <c r="G102" s="18"/>
      <c r="H102" s="18"/>
      <c r="I102" s="18"/>
      <c r="J102" s="18"/>
      <c r="K102" s="18"/>
      <c r="L102" s="18"/>
      <c r="M102" s="18"/>
      <c r="N102" s="18"/>
      <c r="O102" s="18"/>
      <c r="P102" s="3"/>
      <c r="Q102" s="18"/>
      <c r="R102" s="18"/>
      <c r="S102" s="18"/>
      <c r="T102" s="3"/>
      <c r="U102" s="3"/>
      <c r="V102" s="3"/>
    </row>
    <row r="103" spans="1:22" x14ac:dyDescent="0.25">
      <c r="A103" s="219"/>
      <c r="B103" s="3"/>
      <c r="C103" s="18"/>
      <c r="D103" s="18"/>
      <c r="E103" s="18"/>
      <c r="F103" s="18"/>
      <c r="G103" s="18"/>
      <c r="H103" s="18"/>
      <c r="I103" s="18"/>
      <c r="J103" s="18"/>
      <c r="K103" s="18"/>
      <c r="L103" s="18"/>
      <c r="M103" s="18"/>
      <c r="N103" s="18"/>
      <c r="O103" s="18"/>
      <c r="P103" s="3"/>
      <c r="Q103" s="18"/>
      <c r="R103" s="18"/>
      <c r="S103" s="18"/>
      <c r="T103" s="3"/>
      <c r="U103" s="3"/>
      <c r="V103" s="3"/>
    </row>
    <row r="104" spans="1:22" x14ac:dyDescent="0.25">
      <c r="A104" s="219"/>
      <c r="B104" s="3"/>
      <c r="C104" s="18"/>
      <c r="D104" s="18"/>
      <c r="E104" s="18"/>
      <c r="F104" s="18"/>
      <c r="G104" s="18"/>
      <c r="H104" s="18"/>
      <c r="I104" s="18"/>
      <c r="J104" s="18"/>
      <c r="K104" s="18"/>
      <c r="L104" s="18"/>
      <c r="M104" s="18"/>
      <c r="N104" s="18"/>
      <c r="O104" s="18"/>
      <c r="P104" s="3"/>
      <c r="Q104" s="18"/>
      <c r="R104" s="18"/>
      <c r="S104" s="18"/>
      <c r="T104" s="3"/>
      <c r="U104" s="3"/>
      <c r="V104" s="3"/>
    </row>
    <row r="105" spans="1:22" x14ac:dyDescent="0.25">
      <c r="A105" s="219"/>
      <c r="B105" s="3"/>
      <c r="C105" s="18"/>
      <c r="D105" s="18"/>
      <c r="E105" s="18"/>
      <c r="F105" s="18"/>
      <c r="G105" s="18"/>
      <c r="H105" s="18"/>
      <c r="I105" s="18"/>
      <c r="J105" s="18"/>
      <c r="K105" s="18"/>
      <c r="L105" s="18"/>
      <c r="M105" s="18"/>
      <c r="N105" s="18"/>
      <c r="O105" s="18"/>
      <c r="P105" s="3"/>
      <c r="Q105" s="18"/>
      <c r="R105" s="18"/>
      <c r="S105" s="18"/>
      <c r="T105" s="3"/>
      <c r="U105" s="3"/>
      <c r="V105" s="3"/>
    </row>
    <row r="106" spans="1:22" x14ac:dyDescent="0.25">
      <c r="A106" s="219"/>
      <c r="B106" s="3"/>
      <c r="C106" s="18"/>
      <c r="D106" s="18"/>
      <c r="E106" s="18"/>
      <c r="F106" s="18"/>
      <c r="G106" s="18"/>
      <c r="H106" s="18"/>
      <c r="I106" s="18"/>
      <c r="J106" s="18"/>
      <c r="K106" s="18"/>
      <c r="L106" s="18"/>
      <c r="M106" s="18"/>
      <c r="N106" s="18"/>
      <c r="O106" s="18"/>
      <c r="P106" s="3"/>
      <c r="Q106" s="18"/>
      <c r="R106" s="18"/>
      <c r="S106" s="18"/>
      <c r="T106" s="3"/>
      <c r="U106" s="3"/>
      <c r="V106" s="3"/>
    </row>
    <row r="107" spans="1:22" x14ac:dyDescent="0.25">
      <c r="A107" s="219"/>
      <c r="B107" s="3"/>
      <c r="C107" s="18"/>
      <c r="D107" s="18"/>
      <c r="E107" s="18"/>
      <c r="F107" s="18"/>
      <c r="G107" s="18"/>
      <c r="H107" s="18"/>
      <c r="I107" s="18"/>
      <c r="J107" s="18"/>
      <c r="K107" s="18"/>
      <c r="L107" s="18"/>
      <c r="M107" s="18"/>
      <c r="N107" s="18"/>
      <c r="O107" s="18"/>
      <c r="P107" s="3"/>
      <c r="Q107" s="18"/>
      <c r="R107" s="18"/>
      <c r="S107" s="18"/>
      <c r="T107" s="3"/>
      <c r="U107" s="3"/>
      <c r="V107" s="3"/>
    </row>
    <row r="108" spans="1:22" x14ac:dyDescent="0.25">
      <c r="A108" s="219"/>
      <c r="B108" s="3"/>
      <c r="C108" s="18"/>
      <c r="D108" s="18"/>
      <c r="E108" s="18"/>
      <c r="F108" s="18"/>
      <c r="G108" s="18"/>
      <c r="H108" s="18"/>
      <c r="I108" s="18"/>
      <c r="J108" s="18"/>
      <c r="K108" s="18"/>
      <c r="L108" s="18"/>
      <c r="M108" s="18"/>
      <c r="N108" s="18"/>
      <c r="O108" s="18"/>
      <c r="P108" s="3"/>
      <c r="Q108" s="18"/>
      <c r="R108" s="18"/>
      <c r="S108" s="18"/>
      <c r="T108" s="3"/>
      <c r="U108" s="3"/>
      <c r="V108" s="3"/>
    </row>
    <row r="109" spans="1:22" x14ac:dyDescent="0.25">
      <c r="A109" s="219"/>
      <c r="B109" s="3"/>
      <c r="C109" s="18"/>
      <c r="D109" s="18"/>
      <c r="E109" s="18"/>
      <c r="F109" s="18"/>
      <c r="G109" s="18"/>
      <c r="H109" s="18"/>
      <c r="I109" s="18"/>
      <c r="J109" s="18"/>
      <c r="K109" s="18"/>
      <c r="L109" s="18"/>
      <c r="M109" s="18"/>
      <c r="N109" s="18"/>
      <c r="O109" s="18"/>
      <c r="P109" s="3"/>
      <c r="Q109" s="18"/>
      <c r="R109" s="18"/>
      <c r="S109" s="18"/>
      <c r="T109" s="3"/>
      <c r="U109" s="3"/>
      <c r="V109" s="3"/>
    </row>
    <row r="110" spans="1:22" x14ac:dyDescent="0.25">
      <c r="A110" s="219"/>
      <c r="B110" s="3"/>
      <c r="C110" s="18"/>
      <c r="D110" s="18"/>
      <c r="E110" s="18"/>
      <c r="F110" s="18"/>
      <c r="G110" s="18"/>
      <c r="H110" s="18"/>
      <c r="I110" s="18"/>
      <c r="J110" s="18"/>
      <c r="K110" s="18"/>
      <c r="L110" s="18"/>
      <c r="M110" s="18"/>
      <c r="N110" s="18"/>
      <c r="O110" s="18"/>
      <c r="P110" s="3"/>
      <c r="Q110" s="18"/>
      <c r="R110" s="18"/>
      <c r="S110" s="18"/>
      <c r="T110" s="3"/>
      <c r="U110" s="3"/>
      <c r="V110" s="3"/>
    </row>
    <row r="111" spans="1:22" x14ac:dyDescent="0.25">
      <c r="A111" s="219"/>
      <c r="B111" s="3"/>
      <c r="C111" s="18"/>
      <c r="D111" s="18"/>
      <c r="E111" s="18"/>
      <c r="F111" s="18"/>
      <c r="G111" s="18"/>
      <c r="H111" s="18"/>
      <c r="I111" s="18"/>
      <c r="J111" s="18"/>
      <c r="K111" s="18"/>
      <c r="L111" s="18"/>
      <c r="M111" s="18"/>
      <c r="N111" s="18"/>
      <c r="O111" s="18"/>
      <c r="P111" s="3"/>
      <c r="Q111" s="18"/>
      <c r="R111" s="18"/>
      <c r="S111" s="18"/>
      <c r="T111" s="3"/>
      <c r="U111" s="3"/>
      <c r="V111" s="3"/>
    </row>
    <row r="112" spans="1:22" x14ac:dyDescent="0.25">
      <c r="A112" s="219"/>
      <c r="B112" s="3"/>
      <c r="C112" s="18"/>
      <c r="D112" s="18"/>
      <c r="E112" s="18"/>
      <c r="F112" s="18"/>
      <c r="G112" s="18"/>
      <c r="H112" s="18"/>
      <c r="I112" s="18"/>
      <c r="J112" s="18"/>
      <c r="K112" s="18"/>
      <c r="L112" s="18"/>
      <c r="M112" s="18"/>
      <c r="N112" s="18"/>
      <c r="O112" s="18"/>
      <c r="P112" s="3"/>
      <c r="Q112" s="18"/>
      <c r="R112" s="18"/>
      <c r="S112" s="18"/>
      <c r="T112" s="3"/>
      <c r="U112" s="3"/>
      <c r="V112" s="3"/>
    </row>
    <row r="113" spans="1:22" x14ac:dyDescent="0.25">
      <c r="A113" s="219"/>
      <c r="B113" s="3"/>
      <c r="C113" s="18"/>
      <c r="D113" s="18"/>
      <c r="E113" s="18"/>
      <c r="F113" s="18"/>
      <c r="G113" s="18"/>
      <c r="H113" s="18"/>
      <c r="I113" s="18"/>
      <c r="J113" s="18"/>
      <c r="K113" s="18"/>
      <c r="L113" s="18"/>
      <c r="M113" s="18"/>
      <c r="N113" s="18"/>
      <c r="O113" s="18"/>
      <c r="P113" s="3"/>
      <c r="Q113" s="18"/>
      <c r="R113" s="18"/>
      <c r="S113" s="18"/>
      <c r="T113" s="3"/>
      <c r="U113" s="3"/>
      <c r="V113" s="3"/>
    </row>
    <row r="114" spans="1:22" x14ac:dyDescent="0.25">
      <c r="A114" s="219"/>
      <c r="B114" s="3"/>
      <c r="C114" s="18"/>
      <c r="D114" s="18"/>
      <c r="E114" s="18"/>
      <c r="F114" s="18"/>
      <c r="G114" s="18"/>
      <c r="H114" s="18"/>
      <c r="I114" s="18"/>
      <c r="J114" s="18"/>
      <c r="K114" s="18"/>
      <c r="L114" s="18"/>
      <c r="M114" s="18"/>
      <c r="N114" s="18"/>
      <c r="O114" s="18"/>
      <c r="P114" s="3"/>
      <c r="Q114" s="18"/>
      <c r="R114" s="18"/>
      <c r="S114" s="18"/>
      <c r="T114" s="3"/>
      <c r="U114" s="3"/>
      <c r="V114" s="3"/>
    </row>
    <row r="115" spans="1:22" x14ac:dyDescent="0.25">
      <c r="A115" s="219"/>
      <c r="B115" s="3"/>
      <c r="C115" s="18"/>
      <c r="D115" s="18"/>
      <c r="E115" s="18"/>
      <c r="F115" s="18"/>
      <c r="G115" s="18"/>
      <c r="H115" s="18"/>
      <c r="I115" s="18"/>
      <c r="J115" s="18"/>
      <c r="K115" s="18"/>
      <c r="L115" s="18"/>
      <c r="M115" s="18"/>
      <c r="N115" s="18"/>
      <c r="O115" s="18"/>
      <c r="P115" s="3"/>
      <c r="Q115" s="18"/>
      <c r="R115" s="18"/>
      <c r="S115" s="18"/>
      <c r="T115" s="3"/>
      <c r="U115" s="3"/>
      <c r="V115" s="3"/>
    </row>
    <row r="116" spans="1:22" x14ac:dyDescent="0.25">
      <c r="A116" s="219"/>
      <c r="B116" s="3"/>
      <c r="C116" s="18"/>
      <c r="D116" s="18"/>
      <c r="E116" s="18"/>
      <c r="F116" s="18"/>
      <c r="G116" s="18"/>
      <c r="H116" s="18"/>
      <c r="I116" s="18"/>
      <c r="J116" s="18"/>
      <c r="K116" s="18"/>
      <c r="L116" s="18"/>
      <c r="M116" s="18"/>
      <c r="N116" s="18"/>
      <c r="O116" s="18"/>
      <c r="P116" s="3"/>
      <c r="Q116" s="18"/>
      <c r="R116" s="18"/>
      <c r="S116" s="18"/>
      <c r="T116" s="3"/>
      <c r="U116" s="3"/>
      <c r="V116" s="3"/>
    </row>
    <row r="117" spans="1:22" x14ac:dyDescent="0.25">
      <c r="A117" s="219"/>
      <c r="B117" s="3"/>
      <c r="C117" s="18"/>
      <c r="D117" s="18"/>
      <c r="E117" s="18"/>
      <c r="F117" s="18"/>
      <c r="G117" s="18"/>
      <c r="H117" s="18"/>
      <c r="I117" s="18"/>
      <c r="J117" s="18"/>
      <c r="K117" s="18"/>
      <c r="L117" s="18"/>
      <c r="M117" s="18"/>
      <c r="N117" s="18"/>
      <c r="O117" s="18"/>
      <c r="P117" s="3"/>
      <c r="Q117" s="18"/>
      <c r="R117" s="18"/>
      <c r="S117" s="18"/>
      <c r="T117" s="3"/>
      <c r="U117" s="3"/>
      <c r="V117" s="3"/>
    </row>
    <row r="118" spans="1:22" x14ac:dyDescent="0.25">
      <c r="A118" s="219"/>
      <c r="B118" s="3"/>
      <c r="C118" s="18"/>
      <c r="D118" s="18"/>
      <c r="E118" s="18"/>
      <c r="F118" s="18"/>
      <c r="G118" s="18"/>
      <c r="H118" s="18"/>
      <c r="I118" s="18"/>
      <c r="J118" s="18"/>
      <c r="K118" s="18"/>
      <c r="L118" s="18"/>
      <c r="M118" s="18"/>
      <c r="N118" s="18"/>
      <c r="O118" s="18"/>
      <c r="P118" s="3"/>
      <c r="Q118" s="18"/>
      <c r="R118" s="18"/>
      <c r="S118" s="18"/>
      <c r="T118" s="3"/>
      <c r="U118" s="3"/>
      <c r="V118" s="3"/>
    </row>
    <row r="119" spans="1:22" x14ac:dyDescent="0.25">
      <c r="A119" s="219"/>
      <c r="B119" s="3"/>
      <c r="C119" s="18"/>
      <c r="D119" s="18"/>
      <c r="E119" s="18"/>
      <c r="F119" s="18"/>
      <c r="G119" s="18"/>
      <c r="H119" s="18"/>
      <c r="I119" s="18"/>
      <c r="J119" s="18"/>
      <c r="K119" s="18"/>
      <c r="L119" s="18"/>
      <c r="M119" s="18"/>
      <c r="N119" s="18"/>
      <c r="O119" s="18"/>
      <c r="P119" s="3"/>
      <c r="Q119" s="18"/>
      <c r="R119" s="18"/>
      <c r="S119" s="18"/>
      <c r="T119" s="3"/>
      <c r="U119" s="3"/>
      <c r="V119" s="3"/>
    </row>
    <row r="120" spans="1:22" x14ac:dyDescent="0.25">
      <c r="A120" s="219"/>
      <c r="B120" s="3"/>
      <c r="C120" s="18"/>
      <c r="D120" s="18"/>
      <c r="E120" s="18"/>
      <c r="F120" s="18"/>
      <c r="G120" s="18"/>
      <c r="H120" s="18"/>
      <c r="I120" s="18"/>
      <c r="J120" s="18"/>
      <c r="K120" s="18"/>
      <c r="L120" s="18"/>
      <c r="M120" s="18"/>
      <c r="N120" s="18"/>
      <c r="O120" s="18"/>
      <c r="P120" s="3"/>
      <c r="Q120" s="18"/>
      <c r="R120" s="18"/>
      <c r="S120" s="18"/>
      <c r="T120" s="3"/>
      <c r="U120" s="3"/>
      <c r="V120" s="3"/>
    </row>
    <row r="121" spans="1:22" x14ac:dyDescent="0.25">
      <c r="C121" s="99"/>
      <c r="D121" s="99"/>
      <c r="E121" s="99"/>
      <c r="F121" s="99"/>
      <c r="G121" s="99"/>
      <c r="H121" s="99"/>
      <c r="I121" s="99"/>
      <c r="J121" s="99"/>
      <c r="K121" s="99"/>
      <c r="L121" s="99"/>
      <c r="M121" s="99"/>
      <c r="N121" s="99"/>
      <c r="O121" s="99"/>
    </row>
    <row r="122" spans="1:22" x14ac:dyDescent="0.25">
      <c r="C122" s="99"/>
      <c r="D122" s="99"/>
      <c r="E122" s="99"/>
      <c r="F122" s="99"/>
      <c r="G122" s="99"/>
      <c r="H122" s="99"/>
      <c r="I122" s="99"/>
      <c r="J122" s="99"/>
      <c r="K122" s="99"/>
      <c r="L122" s="99"/>
      <c r="M122" s="99"/>
      <c r="N122" s="99"/>
      <c r="O122" s="99"/>
    </row>
    <row r="123" spans="1:22" x14ac:dyDescent="0.25">
      <c r="C123" s="99"/>
      <c r="D123" s="99"/>
      <c r="E123" s="99"/>
      <c r="F123" s="99"/>
      <c r="G123" s="99"/>
      <c r="H123" s="99"/>
      <c r="I123" s="99"/>
      <c r="J123" s="99"/>
      <c r="K123" s="99"/>
      <c r="L123" s="99"/>
      <c r="M123" s="99"/>
      <c r="N123" s="99"/>
      <c r="O123" s="99"/>
    </row>
    <row r="124" spans="1:22" x14ac:dyDescent="0.25">
      <c r="C124" s="99"/>
      <c r="D124" s="99"/>
      <c r="E124" s="99"/>
      <c r="F124" s="99"/>
      <c r="G124" s="99"/>
      <c r="H124" s="99"/>
      <c r="I124" s="99"/>
      <c r="J124" s="99"/>
      <c r="K124" s="99"/>
      <c r="L124" s="99"/>
      <c r="M124" s="99"/>
      <c r="N124" s="99"/>
      <c r="O124" s="99"/>
    </row>
    <row r="125" spans="1:22" x14ac:dyDescent="0.25">
      <c r="C125" s="99"/>
      <c r="D125" s="99"/>
      <c r="E125" s="99"/>
      <c r="F125" s="99"/>
      <c r="G125" s="99"/>
      <c r="H125" s="99"/>
      <c r="I125" s="99"/>
      <c r="J125" s="99"/>
      <c r="K125" s="99"/>
      <c r="L125" s="99"/>
      <c r="M125" s="99"/>
      <c r="N125" s="99"/>
      <c r="O125" s="99"/>
    </row>
    <row r="126" spans="1:22" x14ac:dyDescent="0.25">
      <c r="C126" s="99"/>
      <c r="D126" s="99"/>
      <c r="E126" s="99"/>
      <c r="F126" s="99"/>
      <c r="G126" s="99"/>
      <c r="H126" s="99"/>
      <c r="I126" s="99"/>
      <c r="J126" s="99"/>
      <c r="K126" s="99"/>
      <c r="L126" s="99"/>
      <c r="M126" s="99"/>
      <c r="N126" s="99"/>
      <c r="O126" s="99"/>
    </row>
    <row r="127" spans="1:22" x14ac:dyDescent="0.25">
      <c r="C127" s="99"/>
      <c r="D127" s="99"/>
      <c r="E127" s="99"/>
      <c r="F127" s="99"/>
      <c r="G127" s="99"/>
      <c r="H127" s="99"/>
      <c r="I127" s="99"/>
      <c r="J127" s="99"/>
      <c r="K127" s="99"/>
      <c r="L127" s="99"/>
      <c r="M127" s="99"/>
      <c r="N127" s="99"/>
      <c r="O127" s="99"/>
    </row>
    <row r="128" spans="1:22" x14ac:dyDescent="0.25">
      <c r="C128" s="99"/>
      <c r="D128" s="99"/>
      <c r="E128" s="99"/>
      <c r="F128" s="99"/>
      <c r="G128" s="99"/>
      <c r="H128" s="99"/>
      <c r="I128" s="99"/>
      <c r="J128" s="99"/>
      <c r="K128" s="99"/>
      <c r="L128" s="99"/>
      <c r="M128" s="99"/>
      <c r="N128" s="99"/>
      <c r="O128" s="99"/>
    </row>
    <row r="129" spans="3:3" x14ac:dyDescent="0.25">
      <c r="C129" s="99"/>
    </row>
    <row r="130" spans="3:3" x14ac:dyDescent="0.25">
      <c r="C130" s="99"/>
    </row>
    <row r="131" spans="3:3" x14ac:dyDescent="0.25">
      <c r="C131" s="99"/>
    </row>
    <row r="132" spans="3:3" x14ac:dyDescent="0.25">
      <c r="C132" s="99"/>
    </row>
    <row r="133" spans="3:3" x14ac:dyDescent="0.25">
      <c r="C133" s="99"/>
    </row>
    <row r="134" spans="3:3" x14ac:dyDescent="0.25">
      <c r="C134" s="99"/>
    </row>
    <row r="135" spans="3:3" x14ac:dyDescent="0.25">
      <c r="C135" s="99"/>
    </row>
    <row r="136" spans="3:3" x14ac:dyDescent="0.25">
      <c r="C136" s="99"/>
    </row>
    <row r="137" spans="3:3" x14ac:dyDescent="0.25">
      <c r="C137" s="99"/>
    </row>
    <row r="138" spans="3:3" x14ac:dyDescent="0.25">
      <c r="C138" s="99"/>
    </row>
    <row r="139" spans="3:3" x14ac:dyDescent="0.25">
      <c r="C139" s="99"/>
    </row>
    <row r="140" spans="3:3" x14ac:dyDescent="0.25">
      <c r="C140" s="99"/>
    </row>
    <row r="141" spans="3:3" x14ac:dyDescent="0.25">
      <c r="C141" s="99"/>
    </row>
    <row r="142" spans="3:3" x14ac:dyDescent="0.25">
      <c r="C142" s="99"/>
    </row>
    <row r="143" spans="3:3" x14ac:dyDescent="0.25">
      <c r="C143" s="99"/>
    </row>
    <row r="144" spans="3:3" x14ac:dyDescent="0.25">
      <c r="C144" s="99"/>
    </row>
    <row r="145" spans="3:3" x14ac:dyDescent="0.25">
      <c r="C145" s="99"/>
    </row>
    <row r="146" spans="3:3" x14ac:dyDescent="0.25">
      <c r="C146" s="99"/>
    </row>
    <row r="147" spans="3:3" x14ac:dyDescent="0.25">
      <c r="C147" s="99"/>
    </row>
    <row r="148" spans="3:3" x14ac:dyDescent="0.25">
      <c r="C148" s="99"/>
    </row>
    <row r="149" spans="3:3" x14ac:dyDescent="0.25">
      <c r="C149" s="99"/>
    </row>
    <row r="150" spans="3:3" x14ac:dyDescent="0.25">
      <c r="C150" s="99"/>
    </row>
    <row r="151" spans="3:3" x14ac:dyDescent="0.25">
      <c r="C151" s="99"/>
    </row>
    <row r="152" spans="3:3" x14ac:dyDescent="0.25">
      <c r="C152" s="99"/>
    </row>
    <row r="153" spans="3:3" x14ac:dyDescent="0.25">
      <c r="C153" s="99"/>
    </row>
    <row r="154" spans="3:3" x14ac:dyDescent="0.25">
      <c r="C154" s="99"/>
    </row>
    <row r="155" spans="3:3" x14ac:dyDescent="0.25">
      <c r="C155" s="99"/>
    </row>
    <row r="156" spans="3:3" x14ac:dyDescent="0.25">
      <c r="C156" s="99"/>
    </row>
    <row r="157" spans="3:3" x14ac:dyDescent="0.25">
      <c r="C157" s="99"/>
    </row>
    <row r="158" spans="3:3" x14ac:dyDescent="0.25">
      <c r="C158" s="99"/>
    </row>
    <row r="159" spans="3:3" x14ac:dyDescent="0.25">
      <c r="C159" s="99"/>
    </row>
    <row r="160" spans="3:3" x14ac:dyDescent="0.25">
      <c r="C160" s="99"/>
    </row>
    <row r="161" spans="3:3" x14ac:dyDescent="0.25">
      <c r="C161" s="99"/>
    </row>
    <row r="162" spans="3:3" x14ac:dyDescent="0.25">
      <c r="C162" s="99"/>
    </row>
    <row r="163" spans="3:3" x14ac:dyDescent="0.25">
      <c r="C163" s="99"/>
    </row>
    <row r="164" spans="3:3" x14ac:dyDescent="0.25">
      <c r="C164" s="99"/>
    </row>
    <row r="165" spans="3:3" x14ac:dyDescent="0.25">
      <c r="C165" s="99"/>
    </row>
    <row r="166" spans="3:3" x14ac:dyDescent="0.25">
      <c r="C166" s="99"/>
    </row>
    <row r="167" spans="3:3" x14ac:dyDescent="0.25">
      <c r="C167" s="99"/>
    </row>
    <row r="168" spans="3:3" x14ac:dyDescent="0.25">
      <c r="C168" s="99"/>
    </row>
    <row r="169" spans="3:3" x14ac:dyDescent="0.25">
      <c r="C169" s="99"/>
    </row>
    <row r="170" spans="3:3" x14ac:dyDescent="0.25">
      <c r="C170" s="99"/>
    </row>
    <row r="171" spans="3:3" x14ac:dyDescent="0.25">
      <c r="C171" s="99"/>
    </row>
    <row r="172" spans="3:3" x14ac:dyDescent="0.25">
      <c r="C172" s="99"/>
    </row>
    <row r="173" spans="3:3" x14ac:dyDescent="0.25">
      <c r="C173" s="99"/>
    </row>
    <row r="174" spans="3:3" x14ac:dyDescent="0.25">
      <c r="C174" s="99"/>
    </row>
    <row r="175" spans="3:3" x14ac:dyDescent="0.25">
      <c r="C175" s="99"/>
    </row>
    <row r="176" spans="3:3" x14ac:dyDescent="0.25">
      <c r="C176" s="99"/>
    </row>
  </sheetData>
  <phoneticPr fontId="0" type="noConversion"/>
  <hyperlinks>
    <hyperlink ref="A1" location="'420 DPW'!A1" display="Main 440" xr:uid="{00000000-0004-0000-2500-000000000000}"/>
    <hyperlink ref="B1" location="'Table of Contents'!A1" display="TOC" xr:uid="{00000000-0004-0000-2500-000001000000}"/>
  </hyperlinks>
  <pageMargins left="0.75" right="0.75" top="1" bottom="1" header="0.5" footer="0.5"/>
  <pageSetup scale="92" orientation="landscape" r:id="rId1"/>
  <headerFooter alignWithMargins="0">
    <oddFooter>&amp;L&amp;D     &amp;T&amp;C&amp;F&amp;R&amp;A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pageSetUpPr fitToPage="1"/>
  </sheetPr>
  <dimension ref="A1:W178"/>
  <sheetViews>
    <sheetView workbookViewId="0">
      <selection activeCell="P15" sqref="P15"/>
    </sheetView>
  </sheetViews>
  <sheetFormatPr defaultRowHeight="13.2" x14ac:dyDescent="0.25"/>
  <cols>
    <col min="1" max="1" width="8.77734375" style="228"/>
    <col min="2" max="2" width="36.6640625" customWidth="1"/>
    <col min="3" max="3" width="14.44140625" style="1" hidden="1" customWidth="1"/>
    <col min="4" max="12" width="14.44140625" style="67" hidden="1" customWidth="1"/>
    <col min="13" max="15" width="14.44140625" style="67" customWidth="1"/>
    <col min="16" max="16" width="14.44140625" customWidth="1"/>
    <col min="17" max="19" width="14.44140625" style="1" customWidth="1"/>
    <col min="20" max="22" width="14.44140625" customWidth="1"/>
    <col min="23" max="23" width="14.6640625" style="2" customWidth="1"/>
  </cols>
  <sheetData>
    <row r="1" spans="1:22" x14ac:dyDescent="0.25">
      <c r="A1" s="217" t="s">
        <v>40</v>
      </c>
      <c r="B1" s="132" t="s">
        <v>2</v>
      </c>
      <c r="D1" s="99"/>
      <c r="E1" s="99"/>
      <c r="F1" s="99"/>
      <c r="G1" s="99"/>
      <c r="H1" s="99"/>
      <c r="I1" s="99"/>
      <c r="J1" s="99"/>
      <c r="K1" s="99"/>
      <c r="L1" s="99"/>
      <c r="M1" s="99"/>
      <c r="N1" s="99"/>
      <c r="O1" s="99"/>
      <c r="S1"/>
    </row>
    <row r="2" spans="1:22" ht="13.8" x14ac:dyDescent="0.25">
      <c r="A2" s="218" t="s">
        <v>136</v>
      </c>
      <c r="B2" s="35"/>
      <c r="D2" s="99"/>
      <c r="E2" s="78"/>
      <c r="F2" s="99"/>
      <c r="G2" s="99"/>
      <c r="H2" s="99"/>
      <c r="I2" s="78" t="s">
        <v>22</v>
      </c>
      <c r="J2" s="78"/>
      <c r="K2" s="78"/>
      <c r="L2" s="78"/>
      <c r="M2" s="78"/>
      <c r="N2" s="78"/>
      <c r="O2" s="78"/>
      <c r="P2" s="40" t="s">
        <v>20</v>
      </c>
      <c r="S2" s="36" t="s">
        <v>216</v>
      </c>
    </row>
    <row r="3" spans="1:22" ht="13.8" thickBot="1" x14ac:dyDescent="0.3">
      <c r="A3" s="219"/>
      <c r="B3" s="3"/>
      <c r="C3" s="18"/>
      <c r="D3" s="18"/>
      <c r="E3" s="18"/>
      <c r="F3" s="18"/>
      <c r="G3" s="18"/>
      <c r="H3" s="18"/>
      <c r="I3" s="18"/>
      <c r="J3" s="18"/>
      <c r="K3" s="18"/>
      <c r="L3" s="18"/>
      <c r="M3" s="18"/>
      <c r="N3" s="18"/>
      <c r="O3" s="18"/>
      <c r="P3" s="3"/>
      <c r="Q3" s="18"/>
      <c r="R3" s="18"/>
      <c r="S3" s="3"/>
      <c r="V3" s="3"/>
    </row>
    <row r="4" spans="1:22" ht="13.8" thickTop="1" x14ac:dyDescent="0.25">
      <c r="A4" s="220"/>
      <c r="B4" s="187"/>
      <c r="C4" s="71" t="s">
        <v>13</v>
      </c>
      <c r="D4" s="106" t="s">
        <v>13</v>
      </c>
      <c r="E4" s="106" t="s">
        <v>13</v>
      </c>
      <c r="F4" s="106" t="s">
        <v>13</v>
      </c>
      <c r="G4" s="106" t="s">
        <v>13</v>
      </c>
      <c r="H4" s="65" t="s">
        <v>13</v>
      </c>
      <c r="I4" s="111" t="s">
        <v>13</v>
      </c>
      <c r="J4" s="111" t="s">
        <v>13</v>
      </c>
      <c r="K4" s="111" t="s">
        <v>12</v>
      </c>
      <c r="L4" s="111" t="s">
        <v>13</v>
      </c>
      <c r="M4" s="111" t="s">
        <v>12</v>
      </c>
      <c r="N4" s="111" t="s">
        <v>13</v>
      </c>
      <c r="O4" s="111" t="s">
        <v>12</v>
      </c>
      <c r="P4" s="65" t="s">
        <v>23</v>
      </c>
      <c r="Q4" s="52" t="s">
        <v>18</v>
      </c>
      <c r="R4" s="52" t="s">
        <v>18</v>
      </c>
      <c r="S4" s="4" t="s">
        <v>18</v>
      </c>
    </row>
    <row r="5" spans="1:22" x14ac:dyDescent="0.25">
      <c r="A5" s="221"/>
      <c r="B5" s="96"/>
      <c r="C5" s="70"/>
      <c r="D5" s="54"/>
      <c r="E5" s="66"/>
      <c r="F5" s="54"/>
      <c r="G5" s="54"/>
      <c r="H5" s="66"/>
      <c r="I5" s="112"/>
      <c r="J5" s="112"/>
      <c r="K5" s="112"/>
      <c r="L5" s="112"/>
      <c r="M5" s="112"/>
      <c r="N5" s="112"/>
      <c r="O5" s="112"/>
      <c r="P5" s="66" t="s">
        <v>24</v>
      </c>
      <c r="Q5" s="55" t="s">
        <v>25</v>
      </c>
      <c r="R5" s="55" t="s">
        <v>26</v>
      </c>
      <c r="S5" s="93" t="s">
        <v>27</v>
      </c>
    </row>
    <row r="6" spans="1:22" x14ac:dyDescent="0.25">
      <c r="A6" s="221"/>
      <c r="B6" s="96"/>
      <c r="C6" s="70"/>
      <c r="D6" s="70"/>
      <c r="E6" s="70"/>
      <c r="F6" s="70"/>
      <c r="G6" s="70"/>
      <c r="H6" s="70"/>
      <c r="I6" s="55"/>
      <c r="J6" s="55"/>
      <c r="K6" s="55"/>
      <c r="L6" s="55"/>
      <c r="M6" s="55"/>
      <c r="N6" s="55"/>
      <c r="O6" s="55"/>
      <c r="P6" s="70"/>
      <c r="Q6" s="55" t="s">
        <v>28</v>
      </c>
      <c r="R6" s="55" t="s">
        <v>19</v>
      </c>
      <c r="S6" s="37" t="s">
        <v>29</v>
      </c>
    </row>
    <row r="7" spans="1:22" ht="13.8" thickBot="1" x14ac:dyDescent="0.3">
      <c r="A7" s="222" t="s">
        <v>30</v>
      </c>
      <c r="B7" s="51"/>
      <c r="C7" s="115" t="s">
        <v>4</v>
      </c>
      <c r="D7" s="115" t="s">
        <v>5</v>
      </c>
      <c r="E7" s="5" t="s">
        <v>6</v>
      </c>
      <c r="F7" s="5" t="s">
        <v>15</v>
      </c>
      <c r="G7" s="5" t="s">
        <v>16</v>
      </c>
      <c r="H7" s="5" t="s">
        <v>7</v>
      </c>
      <c r="I7" s="5" t="s">
        <v>8</v>
      </c>
      <c r="J7" s="5" t="s">
        <v>17</v>
      </c>
      <c r="K7" s="5" t="s">
        <v>9</v>
      </c>
      <c r="L7" s="5" t="s">
        <v>9</v>
      </c>
      <c r="M7" s="5" t="s">
        <v>10</v>
      </c>
      <c r="N7" s="5" t="s">
        <v>10</v>
      </c>
      <c r="O7" s="5" t="s">
        <v>11</v>
      </c>
      <c r="P7" s="76">
        <v>44926</v>
      </c>
      <c r="Q7" s="5" t="s">
        <v>31</v>
      </c>
      <c r="R7" s="5"/>
      <c r="S7" s="5" t="s">
        <v>19</v>
      </c>
    </row>
    <row r="8" spans="1:22" ht="13.8" thickTop="1" x14ac:dyDescent="0.25">
      <c r="A8" s="235"/>
      <c r="B8" s="97"/>
      <c r="C8" s="75"/>
      <c r="D8" s="13"/>
      <c r="E8" s="13"/>
      <c r="F8" s="13"/>
      <c r="G8" s="13"/>
      <c r="H8" s="13"/>
      <c r="I8" s="13"/>
      <c r="J8" s="13"/>
      <c r="K8" s="14"/>
      <c r="L8" s="14"/>
      <c r="M8" s="14"/>
      <c r="N8" s="14"/>
      <c r="O8" s="14"/>
      <c r="P8" s="13"/>
      <c r="Q8" s="14"/>
      <c r="R8" s="14"/>
      <c r="S8" s="14"/>
    </row>
    <row r="9" spans="1:22" x14ac:dyDescent="0.25">
      <c r="A9" s="235">
        <v>5124</v>
      </c>
      <c r="B9" s="64" t="s">
        <v>217</v>
      </c>
      <c r="C9" s="75">
        <v>640</v>
      </c>
      <c r="D9" s="13">
        <v>305</v>
      </c>
      <c r="E9" s="13">
        <v>335</v>
      </c>
      <c r="F9" s="13">
        <v>135</v>
      </c>
      <c r="G9" s="13"/>
      <c r="H9" s="13">
        <v>0</v>
      </c>
      <c r="I9" s="69">
        <v>0</v>
      </c>
      <c r="J9" s="69"/>
      <c r="K9" s="14">
        <v>2000</v>
      </c>
      <c r="L9" s="69"/>
      <c r="M9" s="14">
        <v>2000</v>
      </c>
      <c r="N9" s="69">
        <v>0</v>
      </c>
      <c r="O9" s="14">
        <v>2000</v>
      </c>
      <c r="P9" s="13"/>
      <c r="Q9" s="14">
        <v>2000</v>
      </c>
      <c r="R9" s="14"/>
      <c r="S9" s="14"/>
    </row>
    <row r="10" spans="1:22" x14ac:dyDescent="0.25">
      <c r="A10" s="224">
        <v>5132</v>
      </c>
      <c r="B10" s="42" t="s">
        <v>141</v>
      </c>
      <c r="C10" s="73">
        <v>40717.339999999997</v>
      </c>
      <c r="D10" s="8">
        <f>1377.54+63082.85</f>
        <v>64460.39</v>
      </c>
      <c r="E10" s="8">
        <v>82691.58</v>
      </c>
      <c r="F10" s="8">
        <v>22371.74</v>
      </c>
      <c r="G10" s="8">
        <v>68334</v>
      </c>
      <c r="H10" s="8">
        <v>70028.600000000006</v>
      </c>
      <c r="I10" s="79">
        <v>55481.56</v>
      </c>
      <c r="J10" s="79">
        <v>39043.360000000001</v>
      </c>
      <c r="K10" s="9">
        <v>77000</v>
      </c>
      <c r="L10" s="79">
        <v>40754.160000000003</v>
      </c>
      <c r="M10" s="9">
        <v>77000</v>
      </c>
      <c r="N10" s="79">
        <v>47675.72</v>
      </c>
      <c r="O10" s="9">
        <v>77000</v>
      </c>
      <c r="P10" s="8">
        <v>12706.37</v>
      </c>
      <c r="Q10" s="9">
        <v>77000</v>
      </c>
      <c r="R10" s="9"/>
      <c r="S10" s="9"/>
    </row>
    <row r="11" spans="1:22" ht="13.8" thickBot="1" x14ac:dyDescent="0.3">
      <c r="A11" s="224">
        <v>5142</v>
      </c>
      <c r="B11" s="42" t="s">
        <v>218</v>
      </c>
      <c r="C11" s="105">
        <v>12342.85</v>
      </c>
      <c r="D11" s="27">
        <v>12942.86</v>
      </c>
      <c r="E11" s="27">
        <v>12719.9</v>
      </c>
      <c r="F11" s="27">
        <v>8482.24</v>
      </c>
      <c r="G11" s="27">
        <v>14840</v>
      </c>
      <c r="H11" s="27">
        <v>14320</v>
      </c>
      <c r="I11" s="100">
        <v>14040</v>
      </c>
      <c r="J11" s="100">
        <v>15720</v>
      </c>
      <c r="K11" s="28">
        <f>(170*11)*15</f>
        <v>28050</v>
      </c>
      <c r="L11" s="100">
        <v>15570</v>
      </c>
      <c r="M11" s="28">
        <f>(170*11)*15</f>
        <v>28050</v>
      </c>
      <c r="N11" s="16">
        <v>16360</v>
      </c>
      <c r="O11" s="28">
        <f>((170*11)*15)-6000+3000</f>
        <v>25050</v>
      </c>
      <c r="P11" s="27">
        <v>3630</v>
      </c>
      <c r="Q11" s="28">
        <v>18000</v>
      </c>
      <c r="R11" s="28"/>
      <c r="S11" s="28"/>
    </row>
    <row r="12" spans="1:22" ht="13.8" thickTop="1" x14ac:dyDescent="0.25">
      <c r="A12" s="224"/>
      <c r="B12" s="43" t="s">
        <v>32</v>
      </c>
      <c r="C12" s="202">
        <f t="shared" ref="C12:S12" si="0">SUM(C9:C11)</f>
        <v>53700.189999999995</v>
      </c>
      <c r="D12" s="24">
        <f t="shared" si="0"/>
        <v>77708.25</v>
      </c>
      <c r="E12" s="24">
        <f t="shared" si="0"/>
        <v>95746.48</v>
      </c>
      <c r="F12" s="24">
        <f t="shared" ref="F12:N12" si="1">SUM(F9:F11)</f>
        <v>30988.980000000003</v>
      </c>
      <c r="G12" s="24">
        <f t="shared" si="1"/>
        <v>83174</v>
      </c>
      <c r="H12" s="24">
        <f t="shared" si="1"/>
        <v>84348.6</v>
      </c>
      <c r="I12" s="123">
        <f t="shared" si="1"/>
        <v>69521.56</v>
      </c>
      <c r="J12" s="123">
        <f t="shared" si="1"/>
        <v>54763.360000000001</v>
      </c>
      <c r="K12" s="25">
        <f t="shared" si="1"/>
        <v>107050</v>
      </c>
      <c r="L12" s="123">
        <f t="shared" si="1"/>
        <v>56324.160000000003</v>
      </c>
      <c r="M12" s="25">
        <f>SUM(M9:M11)</f>
        <v>107050</v>
      </c>
      <c r="N12" s="123">
        <f t="shared" si="1"/>
        <v>64035.72</v>
      </c>
      <c r="O12" s="25">
        <f>SUM(O9:O11)</f>
        <v>104050</v>
      </c>
      <c r="P12" s="24">
        <f t="shared" si="0"/>
        <v>16336.37</v>
      </c>
      <c r="Q12" s="25">
        <f>SUM(Q9:Q11)</f>
        <v>97000</v>
      </c>
      <c r="R12" s="25"/>
      <c r="S12" s="25">
        <f t="shared" si="0"/>
        <v>0</v>
      </c>
    </row>
    <row r="13" spans="1:22" x14ac:dyDescent="0.25">
      <c r="A13" s="224"/>
      <c r="B13" s="42"/>
      <c r="C13" s="73"/>
      <c r="D13" s="8"/>
      <c r="E13" s="8"/>
      <c r="F13" s="8"/>
      <c r="G13" s="8"/>
      <c r="H13" s="8"/>
      <c r="I13" s="79"/>
      <c r="J13" s="79"/>
      <c r="K13" s="9"/>
      <c r="L13" s="79"/>
      <c r="M13" s="9"/>
      <c r="N13" s="79"/>
      <c r="O13" s="9"/>
      <c r="P13" s="8"/>
      <c r="Q13" s="9"/>
      <c r="R13" s="9"/>
      <c r="S13" s="9"/>
    </row>
    <row r="14" spans="1:22" x14ac:dyDescent="0.25">
      <c r="A14" s="224">
        <v>5350</v>
      </c>
      <c r="B14" s="42" t="s">
        <v>64</v>
      </c>
      <c r="C14" s="73"/>
      <c r="D14" s="8">
        <v>0</v>
      </c>
      <c r="E14" s="8"/>
      <c r="F14" s="8"/>
      <c r="G14" s="8"/>
      <c r="H14" s="8"/>
      <c r="I14" s="79">
        <v>0</v>
      </c>
      <c r="J14" s="79"/>
      <c r="K14" s="9">
        <v>1000</v>
      </c>
      <c r="L14" s="79"/>
      <c r="M14" s="9">
        <v>1000</v>
      </c>
      <c r="N14" s="79">
        <v>600</v>
      </c>
      <c r="O14" s="9">
        <v>1000</v>
      </c>
      <c r="P14" s="8"/>
      <c r="Q14" s="9">
        <v>1000</v>
      </c>
      <c r="R14" s="9"/>
      <c r="S14" s="9"/>
    </row>
    <row r="15" spans="1:22" x14ac:dyDescent="0.25">
      <c r="A15" s="224">
        <v>5532</v>
      </c>
      <c r="B15" s="42" t="s">
        <v>219</v>
      </c>
      <c r="C15" s="73">
        <v>57995.07</v>
      </c>
      <c r="D15" s="13">
        <v>57239.44</v>
      </c>
      <c r="E15" s="13">
        <v>61212.41</v>
      </c>
      <c r="F15" s="13">
        <v>59100.23</v>
      </c>
      <c r="G15" s="13">
        <v>54605.77</v>
      </c>
      <c r="H15" s="13">
        <v>53550.54</v>
      </c>
      <c r="I15" s="69">
        <v>78251.64</v>
      </c>
      <c r="J15" s="69">
        <v>60127.33</v>
      </c>
      <c r="K15" s="14">
        <v>80000</v>
      </c>
      <c r="L15" s="69">
        <v>56865</v>
      </c>
      <c r="M15" s="14">
        <v>80000</v>
      </c>
      <c r="N15" s="269">
        <v>134381.6</v>
      </c>
      <c r="O15" s="14">
        <v>80000</v>
      </c>
      <c r="P15" s="8">
        <v>23908.52</v>
      </c>
      <c r="Q15" s="14">
        <v>138250</v>
      </c>
      <c r="R15" s="14"/>
      <c r="S15" s="14"/>
    </row>
    <row r="16" spans="1:22" x14ac:dyDescent="0.25">
      <c r="A16" s="224">
        <v>5533</v>
      </c>
      <c r="B16" s="42" t="s">
        <v>220</v>
      </c>
      <c r="C16" s="105">
        <v>36656.76</v>
      </c>
      <c r="D16" s="13">
        <v>60400.06</v>
      </c>
      <c r="E16" s="13">
        <v>52174.22</v>
      </c>
      <c r="F16" s="13">
        <v>21420.54</v>
      </c>
      <c r="G16" s="13">
        <v>39101.39</v>
      </c>
      <c r="H16" s="13">
        <v>49696.36</v>
      </c>
      <c r="I16" s="69">
        <v>37999.449999999997</v>
      </c>
      <c r="J16" s="69">
        <v>37589.589999999997</v>
      </c>
      <c r="K16" s="14">
        <v>65000</v>
      </c>
      <c r="L16" s="121">
        <v>6328.46</v>
      </c>
      <c r="M16" s="14">
        <v>56000</v>
      </c>
      <c r="N16" s="213">
        <v>6506.35</v>
      </c>
      <c r="O16" s="14">
        <v>56000</v>
      </c>
      <c r="P16" s="27">
        <v>2350.79</v>
      </c>
      <c r="Q16" s="14">
        <v>35000</v>
      </c>
      <c r="R16" s="14"/>
      <c r="S16" s="14"/>
    </row>
    <row r="17" spans="1:22" ht="13.8" thickBot="1" x14ac:dyDescent="0.3">
      <c r="A17" s="224">
        <v>5590</v>
      </c>
      <c r="B17" s="42" t="s">
        <v>221</v>
      </c>
      <c r="C17" s="74">
        <v>12092.28</v>
      </c>
      <c r="D17" s="10">
        <v>14792.81</v>
      </c>
      <c r="E17" s="10">
        <v>10111.780000000001</v>
      </c>
      <c r="F17" s="10">
        <v>12249.29</v>
      </c>
      <c r="G17" s="10">
        <v>28447.74</v>
      </c>
      <c r="H17" s="10">
        <v>35002.49</v>
      </c>
      <c r="I17" s="119">
        <v>14368.52</v>
      </c>
      <c r="J17" s="119">
        <v>30839.51</v>
      </c>
      <c r="K17" s="11">
        <v>25000</v>
      </c>
      <c r="L17" s="119">
        <v>41761.58</v>
      </c>
      <c r="M17" s="11">
        <v>34000</v>
      </c>
      <c r="N17" s="119">
        <v>31072.11</v>
      </c>
      <c r="O17" s="11">
        <v>40000</v>
      </c>
      <c r="P17" s="10">
        <v>10362.99</v>
      </c>
      <c r="Q17" s="11">
        <v>40000</v>
      </c>
      <c r="R17" s="11"/>
      <c r="S17" s="11"/>
    </row>
    <row r="18" spans="1:22" x14ac:dyDescent="0.25">
      <c r="A18" s="224"/>
      <c r="B18" s="43" t="s">
        <v>34</v>
      </c>
      <c r="C18" s="75">
        <f t="shared" ref="C18:S18" si="2">SUM(C14:C17)</f>
        <v>106744.11</v>
      </c>
      <c r="D18" s="13">
        <f t="shared" si="2"/>
        <v>132432.31</v>
      </c>
      <c r="E18" s="13">
        <f t="shared" si="2"/>
        <v>123498.41</v>
      </c>
      <c r="F18" s="13">
        <f>SUM(F14:F17)</f>
        <v>92770.06</v>
      </c>
      <c r="G18" s="13">
        <f>SUM(G14:G17)</f>
        <v>122154.90000000001</v>
      </c>
      <c r="H18" s="13">
        <f>SUM(H14:H17)</f>
        <v>138249.38999999998</v>
      </c>
      <c r="I18" s="13">
        <f t="shared" si="2"/>
        <v>130619.61</v>
      </c>
      <c r="J18" s="13">
        <f t="shared" ref="J18" si="3">SUM(J14:J17)</f>
        <v>128556.43</v>
      </c>
      <c r="K18" s="104">
        <f>SUM(K14:K17)</f>
        <v>171000</v>
      </c>
      <c r="L18" s="69">
        <f t="shared" ref="L18:O18" si="4">SUM(L14:L17)</f>
        <v>104955.04000000001</v>
      </c>
      <c r="M18" s="104">
        <f t="shared" si="4"/>
        <v>171000</v>
      </c>
      <c r="N18" s="69">
        <f t="shared" ref="N18" si="5">SUM(N14:N17)</f>
        <v>172560.06</v>
      </c>
      <c r="O18" s="104">
        <f t="shared" si="4"/>
        <v>177000</v>
      </c>
      <c r="P18" s="13">
        <f t="shared" si="2"/>
        <v>36622.300000000003</v>
      </c>
      <c r="Q18" s="104">
        <f>SUM(Q14:Q17)</f>
        <v>214250</v>
      </c>
      <c r="R18" s="104"/>
      <c r="S18" s="104">
        <f t="shared" si="2"/>
        <v>0</v>
      </c>
    </row>
    <row r="19" spans="1:22" x14ac:dyDescent="0.25">
      <c r="A19" s="224"/>
      <c r="B19" s="7"/>
      <c r="C19" s="8"/>
      <c r="D19" s="8"/>
      <c r="E19" s="8"/>
      <c r="F19" s="8"/>
      <c r="G19" s="8"/>
      <c r="H19" s="8"/>
      <c r="I19" s="8"/>
      <c r="J19" s="8"/>
      <c r="K19" s="9"/>
      <c r="L19" s="79"/>
      <c r="M19" s="9"/>
      <c r="N19" s="79"/>
      <c r="O19" s="9"/>
      <c r="P19" s="8"/>
      <c r="Q19" s="9"/>
      <c r="R19" s="9"/>
      <c r="S19" s="9"/>
    </row>
    <row r="20" spans="1:22" ht="13.8" thickBot="1" x14ac:dyDescent="0.3">
      <c r="A20" s="225"/>
      <c r="B20" s="15" t="s">
        <v>222</v>
      </c>
      <c r="C20" s="16">
        <f t="shared" ref="C20:Q20" si="6">+C18+C12</f>
        <v>160444.29999999999</v>
      </c>
      <c r="D20" s="16">
        <f t="shared" si="6"/>
        <v>210140.56</v>
      </c>
      <c r="E20" s="16">
        <f t="shared" si="6"/>
        <v>219244.89</v>
      </c>
      <c r="F20" s="16">
        <f>+F18+F12</f>
        <v>123759.04000000001</v>
      </c>
      <c r="G20" s="16">
        <f>+G18+G12</f>
        <v>205328.90000000002</v>
      </c>
      <c r="H20" s="16">
        <f>+H18+H12</f>
        <v>222597.99</v>
      </c>
      <c r="I20" s="16">
        <f t="shared" si="6"/>
        <v>200141.16999999998</v>
      </c>
      <c r="J20" s="16">
        <f t="shared" ref="J20" si="7">+J18+J12</f>
        <v>183319.78999999998</v>
      </c>
      <c r="K20" s="17">
        <f t="shared" ref="K20:O20" si="8">+K18+K12</f>
        <v>278050</v>
      </c>
      <c r="L20" s="16">
        <f t="shared" si="8"/>
        <v>161279.20000000001</v>
      </c>
      <c r="M20" s="17">
        <f t="shared" si="8"/>
        <v>278050</v>
      </c>
      <c r="N20" s="16">
        <f t="shared" ref="N20" si="9">+N18+N12</f>
        <v>236595.78</v>
      </c>
      <c r="O20" s="17">
        <f t="shared" si="8"/>
        <v>281050</v>
      </c>
      <c r="P20" s="16">
        <f t="shared" si="6"/>
        <v>52958.670000000006</v>
      </c>
      <c r="Q20" s="17">
        <f t="shared" si="6"/>
        <v>311250</v>
      </c>
      <c r="R20" s="17">
        <f>+Q20</f>
        <v>311250</v>
      </c>
      <c r="S20" s="17">
        <f>+Q20</f>
        <v>311250</v>
      </c>
    </row>
    <row r="21" spans="1:22" ht="13.8" thickTop="1" x14ac:dyDescent="0.25">
      <c r="A21" s="45"/>
      <c r="B21" s="3"/>
      <c r="C21" s="18"/>
      <c r="D21" s="18"/>
      <c r="E21" s="18" t="s">
        <v>223</v>
      </c>
      <c r="F21" s="18"/>
      <c r="G21" s="18"/>
      <c r="H21" s="18"/>
      <c r="I21" s="18"/>
      <c r="J21" s="18"/>
      <c r="K21" s="18"/>
      <c r="L21" s="18"/>
      <c r="M21" s="18"/>
      <c r="N21" s="18"/>
      <c r="O21" s="18"/>
      <c r="P21" s="94" t="s">
        <v>37</v>
      </c>
      <c r="Q21" s="278">
        <f>+Q20-O20</f>
        <v>30200</v>
      </c>
      <c r="R21" s="279">
        <f>ROUND((+Q21/O20),4)</f>
        <v>0.1075</v>
      </c>
      <c r="S21" s="18"/>
      <c r="T21" s="20"/>
      <c r="U21" s="20"/>
      <c r="V21" s="20"/>
    </row>
    <row r="22" spans="1:22" ht="13.8" thickBot="1" x14ac:dyDescent="0.3">
      <c r="A22" s="219"/>
      <c r="B22" s="3"/>
      <c r="C22" s="19"/>
      <c r="D22" s="18"/>
      <c r="E22" s="18"/>
      <c r="F22" s="18"/>
      <c r="G22" s="18"/>
      <c r="H22" s="18"/>
      <c r="I22" s="18"/>
      <c r="J22" s="18"/>
      <c r="K22" s="18"/>
      <c r="L22" s="18"/>
      <c r="M22" s="18"/>
      <c r="N22" s="18"/>
      <c r="O22" s="18"/>
      <c r="P22" s="20"/>
      <c r="Q22" s="18"/>
      <c r="R22" s="18"/>
      <c r="S22" s="20"/>
      <c r="T22" s="20"/>
      <c r="U22" s="20"/>
      <c r="V22" s="20"/>
    </row>
    <row r="23" spans="1:22" ht="13.8" thickTop="1" x14ac:dyDescent="0.25">
      <c r="A23" s="231"/>
      <c r="B23" s="145"/>
      <c r="C23" s="146" t="s">
        <v>13</v>
      </c>
      <c r="D23" s="147" t="s">
        <v>13</v>
      </c>
      <c r="E23" s="147" t="s">
        <v>13</v>
      </c>
      <c r="F23" s="99"/>
      <c r="G23" s="99"/>
      <c r="H23" s="99"/>
      <c r="I23" s="99"/>
      <c r="J23" s="99"/>
      <c r="K23" s="99"/>
      <c r="L23" s="99"/>
      <c r="M23" s="148" t="s">
        <v>12</v>
      </c>
      <c r="N23" s="149" t="s">
        <v>31</v>
      </c>
      <c r="O23" s="150" t="s">
        <v>35</v>
      </c>
      <c r="P23" s="149" t="s">
        <v>36</v>
      </c>
      <c r="Q23" s="151"/>
      <c r="R23" s="193"/>
      <c r="S23" s="150"/>
      <c r="T23" s="20"/>
      <c r="U23" s="20"/>
      <c r="V23" s="20"/>
    </row>
    <row r="24" spans="1:22" ht="13.8" thickBot="1" x14ac:dyDescent="0.3">
      <c r="A24" s="232" t="s">
        <v>30</v>
      </c>
      <c r="B24" s="152"/>
      <c r="C24" s="153" t="s">
        <v>4</v>
      </c>
      <c r="D24" s="153" t="s">
        <v>5</v>
      </c>
      <c r="E24" s="154" t="s">
        <v>6</v>
      </c>
      <c r="F24" s="99"/>
      <c r="G24" s="99"/>
      <c r="H24" s="99"/>
      <c r="I24" s="99"/>
      <c r="J24" s="99"/>
      <c r="K24" s="99"/>
      <c r="L24" s="99"/>
      <c r="M24" s="155" t="s">
        <v>11</v>
      </c>
      <c r="N24" s="155" t="s">
        <v>18</v>
      </c>
      <c r="O24" s="154" t="s">
        <v>37</v>
      </c>
      <c r="P24" s="156" t="s">
        <v>37</v>
      </c>
      <c r="Q24" s="157" t="s">
        <v>38</v>
      </c>
      <c r="R24" s="194"/>
      <c r="S24" s="155"/>
      <c r="T24" s="20"/>
      <c r="U24" s="20"/>
      <c r="V24" s="20"/>
    </row>
    <row r="25" spans="1:22" ht="13.8" thickTop="1" x14ac:dyDescent="0.25">
      <c r="A25" s="236"/>
      <c r="B25" s="168"/>
      <c r="C25" s="158"/>
      <c r="D25" s="158"/>
      <c r="E25" s="158"/>
      <c r="F25" s="99"/>
      <c r="G25" s="99"/>
      <c r="H25" s="99"/>
      <c r="I25" s="99"/>
      <c r="J25" s="99"/>
      <c r="K25" s="99"/>
      <c r="L25" s="99"/>
      <c r="M25" s="159"/>
      <c r="N25" s="158"/>
      <c r="O25" s="179"/>
      <c r="P25" s="166"/>
      <c r="Q25" s="160"/>
      <c r="R25" s="195"/>
      <c r="S25" s="161"/>
      <c r="T25" s="20"/>
      <c r="U25" s="20"/>
      <c r="V25" s="20"/>
    </row>
    <row r="26" spans="1:22" x14ac:dyDescent="0.25">
      <c r="A26" s="236">
        <v>5124</v>
      </c>
      <c r="B26" s="168" t="s">
        <v>217</v>
      </c>
      <c r="C26" s="158">
        <v>640</v>
      </c>
      <c r="D26" s="158">
        <v>305</v>
      </c>
      <c r="E26" s="158">
        <v>335</v>
      </c>
      <c r="F26" s="99"/>
      <c r="G26" s="99"/>
      <c r="H26" s="99"/>
      <c r="I26" s="99"/>
      <c r="J26" s="99"/>
      <c r="K26" s="99"/>
      <c r="L26" s="99"/>
      <c r="M26" s="159">
        <f>+O9</f>
        <v>2000</v>
      </c>
      <c r="N26" s="177">
        <f>+Q9</f>
        <v>2000</v>
      </c>
      <c r="O26" s="179">
        <f t="shared" ref="O26:O32" si="10">+N26-M26</f>
        <v>0</v>
      </c>
      <c r="P26" s="166" t="str">
        <f t="shared" ref="P26:P32" si="11">IF(M26+N26&lt;&gt;0,IF(M26&lt;&gt;0,IF(O26&lt;&gt;0,ROUND((+O26/M26),4),""),1),"")</f>
        <v/>
      </c>
      <c r="Q26" s="160"/>
      <c r="R26" s="195"/>
      <c r="S26" s="161"/>
      <c r="T26" s="20"/>
      <c r="U26" s="20"/>
      <c r="V26" s="20"/>
    </row>
    <row r="27" spans="1:22" x14ac:dyDescent="0.25">
      <c r="A27" s="234">
        <v>5132</v>
      </c>
      <c r="B27" s="162" t="s">
        <v>141</v>
      </c>
      <c r="C27" s="165">
        <v>40717.339999999997</v>
      </c>
      <c r="D27" s="165">
        <f>1377.54+63082.85</f>
        <v>64460.39</v>
      </c>
      <c r="E27" s="165">
        <v>82691.58</v>
      </c>
      <c r="F27" s="99"/>
      <c r="G27" s="99"/>
      <c r="H27" s="99"/>
      <c r="I27" s="99"/>
      <c r="J27" s="99"/>
      <c r="K27" s="99"/>
      <c r="L27" s="99"/>
      <c r="M27" s="159">
        <f>+O10</f>
        <v>77000</v>
      </c>
      <c r="N27" s="177">
        <f>+Q10</f>
        <v>77000</v>
      </c>
      <c r="O27" s="179">
        <f t="shared" si="10"/>
        <v>0</v>
      </c>
      <c r="P27" s="166" t="str">
        <f t="shared" si="11"/>
        <v/>
      </c>
      <c r="Q27" s="160"/>
      <c r="R27" s="195"/>
      <c r="S27" s="161"/>
      <c r="T27" s="20"/>
      <c r="U27" s="20"/>
      <c r="V27" s="20"/>
    </row>
    <row r="28" spans="1:22" x14ac:dyDescent="0.25">
      <c r="A28" s="234">
        <v>5142</v>
      </c>
      <c r="B28" s="162" t="s">
        <v>218</v>
      </c>
      <c r="C28" s="167">
        <v>12342.85</v>
      </c>
      <c r="D28" s="167">
        <v>12942.86</v>
      </c>
      <c r="E28" s="167">
        <v>12719.9</v>
      </c>
      <c r="F28" s="99"/>
      <c r="G28" s="99"/>
      <c r="H28" s="99"/>
      <c r="I28" s="99"/>
      <c r="J28" s="99"/>
      <c r="K28" s="99"/>
      <c r="L28" s="99"/>
      <c r="M28" s="159">
        <f>+O11</f>
        <v>25050</v>
      </c>
      <c r="N28" s="177">
        <f>+Q11</f>
        <v>18000</v>
      </c>
      <c r="O28" s="179">
        <f t="shared" si="10"/>
        <v>-7050</v>
      </c>
      <c r="P28" s="166">
        <f t="shared" si="11"/>
        <v>-0.28139999999999998</v>
      </c>
      <c r="Q28" s="160"/>
      <c r="R28" s="195"/>
      <c r="S28" s="161"/>
      <c r="T28" s="20"/>
      <c r="U28" s="20"/>
      <c r="V28" s="20"/>
    </row>
    <row r="29" spans="1:22" x14ac:dyDescent="0.25">
      <c r="A29" s="234">
        <v>5350</v>
      </c>
      <c r="B29" s="162" t="s">
        <v>64</v>
      </c>
      <c r="C29" s="165"/>
      <c r="D29" s="165">
        <v>0</v>
      </c>
      <c r="E29" s="165"/>
      <c r="F29" s="99"/>
      <c r="G29" s="99"/>
      <c r="H29" s="99"/>
      <c r="I29" s="99"/>
      <c r="J29" s="99"/>
      <c r="K29" s="99"/>
      <c r="L29" s="99"/>
      <c r="M29" s="164">
        <f>+O14</f>
        <v>1000</v>
      </c>
      <c r="N29" s="177">
        <f>+Q14</f>
        <v>1000</v>
      </c>
      <c r="O29" s="179">
        <f t="shared" si="10"/>
        <v>0</v>
      </c>
      <c r="P29" s="166" t="str">
        <f t="shared" si="11"/>
        <v/>
      </c>
      <c r="Q29" s="160"/>
      <c r="R29" s="195"/>
      <c r="S29" s="161"/>
      <c r="T29" s="20"/>
      <c r="U29" s="20"/>
      <c r="V29" s="20"/>
    </row>
    <row r="30" spans="1:22" x14ac:dyDescent="0.25">
      <c r="A30" s="234">
        <v>5532</v>
      </c>
      <c r="B30" s="162" t="s">
        <v>219</v>
      </c>
      <c r="C30" s="165">
        <v>57995.07</v>
      </c>
      <c r="D30" s="158">
        <v>57239.44</v>
      </c>
      <c r="E30" s="158">
        <v>61212.41</v>
      </c>
      <c r="F30" s="99"/>
      <c r="G30" s="99"/>
      <c r="H30" s="99"/>
      <c r="I30" s="99"/>
      <c r="J30" s="99"/>
      <c r="K30" s="99"/>
      <c r="L30" s="99"/>
      <c r="M30" s="164">
        <f>+O15</f>
        <v>80000</v>
      </c>
      <c r="N30" s="177">
        <f>+Q15</f>
        <v>138250</v>
      </c>
      <c r="O30" s="179">
        <f t="shared" si="10"/>
        <v>58250</v>
      </c>
      <c r="P30" s="166">
        <f t="shared" si="11"/>
        <v>0.72809999999999997</v>
      </c>
      <c r="Q30" s="160" t="s">
        <v>298</v>
      </c>
      <c r="R30" s="195"/>
      <c r="S30" s="161"/>
      <c r="T30" s="20"/>
      <c r="U30" s="20"/>
      <c r="V30" s="20"/>
    </row>
    <row r="31" spans="1:22" x14ac:dyDescent="0.25">
      <c r="A31" s="234">
        <v>5533</v>
      </c>
      <c r="B31" s="162" t="s">
        <v>220</v>
      </c>
      <c r="C31" s="167">
        <v>36656.76</v>
      </c>
      <c r="D31" s="158">
        <v>60400.06</v>
      </c>
      <c r="E31" s="158">
        <v>52174.22</v>
      </c>
      <c r="F31" s="99"/>
      <c r="G31" s="99"/>
      <c r="H31" s="99"/>
      <c r="I31" s="99"/>
      <c r="J31" s="99"/>
      <c r="K31" s="99"/>
      <c r="L31" s="99"/>
      <c r="M31" s="164">
        <f>+O16</f>
        <v>56000</v>
      </c>
      <c r="N31" s="177">
        <f>+Q16</f>
        <v>35000</v>
      </c>
      <c r="O31" s="179">
        <f t="shared" si="10"/>
        <v>-21000</v>
      </c>
      <c r="P31" s="166">
        <f t="shared" si="11"/>
        <v>-0.375</v>
      </c>
      <c r="Q31" s="160"/>
      <c r="R31" s="195"/>
      <c r="S31" s="161"/>
      <c r="T31" s="20"/>
      <c r="U31" s="20"/>
      <c r="V31" s="20"/>
    </row>
    <row r="32" spans="1:22" ht="13.8" thickBot="1" x14ac:dyDescent="0.3">
      <c r="A32" s="234">
        <v>5590</v>
      </c>
      <c r="B32" s="162" t="s">
        <v>221</v>
      </c>
      <c r="C32" s="163">
        <v>12092.28</v>
      </c>
      <c r="D32" s="163">
        <v>14792.81</v>
      </c>
      <c r="E32" s="163">
        <v>10111.780000000001</v>
      </c>
      <c r="F32" s="99"/>
      <c r="G32" s="99"/>
      <c r="H32" s="99"/>
      <c r="I32" s="99"/>
      <c r="J32" s="99"/>
      <c r="K32" s="99"/>
      <c r="L32" s="99"/>
      <c r="M32" s="164">
        <f>+O17</f>
        <v>40000</v>
      </c>
      <c r="N32" s="177">
        <f>+Q17</f>
        <v>40000</v>
      </c>
      <c r="O32" s="179">
        <f t="shared" si="10"/>
        <v>0</v>
      </c>
      <c r="P32" s="166" t="str">
        <f t="shared" si="11"/>
        <v/>
      </c>
      <c r="Q32" s="160"/>
      <c r="R32" s="195"/>
      <c r="S32" s="161"/>
      <c r="T32" s="20"/>
      <c r="U32" s="20"/>
      <c r="V32" s="20"/>
    </row>
    <row r="33" spans="1:22" x14ac:dyDescent="0.25">
      <c r="A33" s="219"/>
      <c r="B33" s="3"/>
      <c r="C33" s="18"/>
      <c r="D33" s="18"/>
      <c r="E33" s="18"/>
      <c r="F33" s="18"/>
      <c r="G33" s="18"/>
      <c r="H33" s="99"/>
      <c r="I33" s="99"/>
      <c r="J33" s="99"/>
      <c r="K33" s="99"/>
      <c r="L33" s="99"/>
      <c r="M33" s="18"/>
      <c r="N33" s="18"/>
      <c r="O33" s="18"/>
      <c r="P33" s="20"/>
      <c r="Q33" s="18"/>
      <c r="R33" s="18"/>
      <c r="S33" s="18"/>
      <c r="T33" s="20"/>
      <c r="U33" s="20"/>
      <c r="V33" s="20"/>
    </row>
    <row r="34" spans="1:22" x14ac:dyDescent="0.25">
      <c r="A34" s="219"/>
      <c r="B34" s="3" t="s">
        <v>39</v>
      </c>
      <c r="C34" s="18"/>
      <c r="D34" s="18"/>
      <c r="E34" s="18"/>
      <c r="F34" s="18"/>
      <c r="G34" s="18"/>
      <c r="H34" s="99"/>
      <c r="I34" s="99"/>
      <c r="J34" s="99"/>
      <c r="K34" s="99"/>
      <c r="L34" s="99"/>
      <c r="M34" s="209">
        <f>SUM(M26:M33)</f>
        <v>281050</v>
      </c>
      <c r="N34" s="209">
        <f>SUM(N26:N33)</f>
        <v>311250</v>
      </c>
      <c r="O34" s="20">
        <f>+N34-M34</f>
        <v>30200</v>
      </c>
      <c r="P34" s="210">
        <f>IF(M34+N34&lt;&gt;0,IF(M34&lt;&gt;0,IF(O34&lt;&gt;0,ROUND((+O34/M34),4),""),1),"")</f>
        <v>0.1075</v>
      </c>
      <c r="Q34" s="18"/>
      <c r="R34" s="18"/>
      <c r="S34" s="18"/>
      <c r="T34" s="20"/>
      <c r="U34" s="20"/>
      <c r="V34" s="20"/>
    </row>
    <row r="35" spans="1:22" x14ac:dyDescent="0.25">
      <c r="A35" s="219"/>
      <c r="B35" s="3"/>
      <c r="C35" s="18"/>
      <c r="D35" s="18"/>
      <c r="E35" s="18"/>
      <c r="F35" s="18"/>
      <c r="G35" s="18"/>
      <c r="H35" s="18"/>
      <c r="I35" s="18"/>
      <c r="J35" s="18"/>
      <c r="K35" s="18"/>
      <c r="L35" s="18"/>
      <c r="M35" s="18"/>
      <c r="N35" s="18"/>
      <c r="O35" s="18"/>
      <c r="P35" s="20"/>
      <c r="Q35" s="18"/>
      <c r="R35" s="18"/>
      <c r="S35" s="18"/>
      <c r="T35" s="20"/>
      <c r="U35" s="20"/>
      <c r="V35" s="20"/>
    </row>
    <row r="36" spans="1:22" x14ac:dyDescent="0.25">
      <c r="A36" s="219" t="s">
        <v>224</v>
      </c>
      <c r="B36" s="3"/>
      <c r="C36" s="18"/>
      <c r="D36" s="18"/>
      <c r="E36" s="18"/>
      <c r="F36" s="18"/>
      <c r="G36" s="18"/>
      <c r="H36" s="18"/>
      <c r="I36" s="18"/>
      <c r="J36" s="18"/>
      <c r="K36" s="18"/>
      <c r="L36" s="18"/>
      <c r="M36" s="18"/>
      <c r="N36" s="18"/>
      <c r="O36" s="18"/>
      <c r="P36" s="20"/>
      <c r="Q36" s="18"/>
      <c r="R36" s="18"/>
      <c r="S36" s="18"/>
      <c r="T36" s="20"/>
      <c r="U36" s="20"/>
      <c r="V36" s="20"/>
    </row>
    <row r="37" spans="1:22" x14ac:dyDescent="0.25">
      <c r="A37" s="219"/>
      <c r="B37" s="3"/>
      <c r="C37" s="18"/>
      <c r="D37" s="18"/>
      <c r="E37" s="18"/>
      <c r="F37" s="18"/>
      <c r="G37" s="18"/>
      <c r="H37" s="18"/>
      <c r="I37" s="18"/>
      <c r="J37" s="18"/>
      <c r="K37" s="18"/>
      <c r="L37" s="18"/>
      <c r="M37" s="18"/>
      <c r="N37" s="18"/>
      <c r="O37" s="18"/>
      <c r="P37" s="20"/>
      <c r="Q37" s="18"/>
      <c r="R37" s="18"/>
      <c r="S37" s="18"/>
      <c r="T37" s="20"/>
      <c r="U37" s="20"/>
      <c r="V37" s="20"/>
    </row>
    <row r="38" spans="1:22" x14ac:dyDescent="0.25">
      <c r="A38" s="219"/>
      <c r="B38" s="3"/>
      <c r="C38" s="18"/>
      <c r="D38" s="18"/>
      <c r="E38" s="18"/>
      <c r="F38" s="18"/>
      <c r="G38" s="18"/>
      <c r="H38" s="18"/>
      <c r="I38" s="18"/>
      <c r="J38" s="18"/>
      <c r="K38" s="18"/>
      <c r="L38" s="18"/>
      <c r="M38" s="18"/>
      <c r="N38" s="18"/>
      <c r="O38" s="18"/>
      <c r="P38" s="20"/>
      <c r="Q38" s="18"/>
      <c r="R38" s="18"/>
      <c r="S38" s="18"/>
      <c r="T38" s="20"/>
      <c r="U38" s="20"/>
      <c r="V38" s="20"/>
    </row>
    <row r="39" spans="1:22" x14ac:dyDescent="0.25">
      <c r="A39" s="219"/>
      <c r="B39" s="3"/>
      <c r="C39" s="18"/>
      <c r="D39" s="18"/>
      <c r="E39" s="18"/>
      <c r="F39" s="18"/>
      <c r="G39" s="18"/>
      <c r="H39" s="18"/>
      <c r="I39" s="18"/>
      <c r="J39" s="18"/>
      <c r="K39" s="18"/>
      <c r="L39" s="18"/>
      <c r="M39" s="18"/>
      <c r="N39" s="18"/>
      <c r="O39" s="18"/>
      <c r="P39" s="20"/>
      <c r="Q39" s="18"/>
      <c r="R39" s="18"/>
      <c r="S39" s="18"/>
      <c r="T39" s="20"/>
      <c r="U39" s="20"/>
      <c r="V39" s="20"/>
    </row>
    <row r="40" spans="1:22" x14ac:dyDescent="0.25">
      <c r="A40" s="219"/>
      <c r="B40" s="3"/>
      <c r="C40" s="18"/>
      <c r="D40" s="18"/>
      <c r="E40" s="18"/>
      <c r="F40" s="18"/>
      <c r="G40" s="18"/>
      <c r="H40" s="18"/>
      <c r="I40" s="18"/>
      <c r="J40" s="18"/>
      <c r="K40" s="18"/>
      <c r="L40" s="18"/>
      <c r="M40" s="18"/>
      <c r="N40" s="18"/>
      <c r="O40" s="18"/>
      <c r="P40" s="20"/>
      <c r="Q40" s="18"/>
      <c r="R40" s="18"/>
      <c r="S40" s="18"/>
      <c r="T40" s="20"/>
      <c r="U40" s="20"/>
      <c r="V40" s="20"/>
    </row>
    <row r="41" spans="1:22" x14ac:dyDescent="0.25">
      <c r="A41" s="219"/>
      <c r="B41" s="3"/>
      <c r="C41" s="18"/>
      <c r="D41" s="18"/>
      <c r="E41" s="18"/>
      <c r="F41" s="18"/>
      <c r="G41" s="18"/>
      <c r="H41" s="18"/>
      <c r="I41" s="18"/>
      <c r="J41" s="18"/>
      <c r="K41" s="18"/>
      <c r="L41" s="18"/>
      <c r="M41" s="18"/>
      <c r="N41" s="18"/>
      <c r="O41" s="18"/>
      <c r="P41" s="20"/>
      <c r="Q41" s="18"/>
      <c r="R41" s="18"/>
      <c r="S41" s="18"/>
      <c r="T41" s="20"/>
      <c r="U41" s="20"/>
      <c r="V41" s="20"/>
    </row>
    <row r="42" spans="1:22" x14ac:dyDescent="0.25">
      <c r="A42" s="219"/>
      <c r="B42" s="3"/>
      <c r="C42" s="18"/>
      <c r="D42" s="18"/>
      <c r="E42" s="18"/>
      <c r="F42" s="18"/>
      <c r="G42" s="18"/>
      <c r="H42" s="18"/>
      <c r="I42" s="18"/>
      <c r="J42" s="18"/>
      <c r="K42" s="18"/>
      <c r="L42" s="18"/>
      <c r="M42" s="18"/>
      <c r="N42" s="18"/>
      <c r="O42" s="18"/>
      <c r="P42" s="20"/>
      <c r="Q42" s="18"/>
      <c r="R42" s="18"/>
      <c r="S42" s="18"/>
      <c r="T42" s="20"/>
      <c r="U42" s="20"/>
      <c r="V42" s="20"/>
    </row>
    <row r="43" spans="1:22" x14ac:dyDescent="0.25">
      <c r="A43" s="219"/>
      <c r="B43" s="3"/>
      <c r="C43" s="18"/>
      <c r="D43" s="18"/>
      <c r="E43" s="18"/>
      <c r="F43" s="18"/>
      <c r="G43" s="18"/>
      <c r="H43" s="18"/>
      <c r="I43" s="18"/>
      <c r="J43" s="18"/>
      <c r="K43" s="18"/>
      <c r="L43" s="18"/>
      <c r="M43" s="18"/>
      <c r="N43" s="18"/>
      <c r="O43" s="18"/>
      <c r="P43" s="20"/>
      <c r="Q43" s="18"/>
      <c r="R43" s="18"/>
      <c r="S43" s="18"/>
      <c r="T43" s="20"/>
      <c r="U43" s="20"/>
      <c r="V43" s="20"/>
    </row>
    <row r="44" spans="1:22" x14ac:dyDescent="0.25">
      <c r="A44" s="219"/>
      <c r="B44" s="3"/>
      <c r="C44" s="18"/>
      <c r="D44" s="18"/>
      <c r="E44" s="18"/>
      <c r="F44" s="18"/>
      <c r="G44" s="18"/>
      <c r="H44" s="18"/>
      <c r="I44" s="18"/>
      <c r="J44" s="18"/>
      <c r="K44" s="18"/>
      <c r="L44" s="18"/>
      <c r="M44" s="18"/>
      <c r="N44" s="18"/>
      <c r="O44" s="18"/>
      <c r="P44" s="20"/>
      <c r="Q44" s="18"/>
      <c r="R44" s="18"/>
      <c r="S44" s="18"/>
      <c r="T44" s="20"/>
      <c r="U44" s="20"/>
      <c r="V44" s="20"/>
    </row>
    <row r="45" spans="1:22" x14ac:dyDescent="0.25">
      <c r="A45" s="219"/>
      <c r="B45" s="3"/>
      <c r="C45" s="18"/>
      <c r="D45" s="18"/>
      <c r="E45" s="18"/>
      <c r="F45" s="18"/>
      <c r="G45" s="18"/>
      <c r="H45" s="18"/>
      <c r="I45" s="18"/>
      <c r="J45" s="18"/>
      <c r="K45" s="18"/>
      <c r="L45" s="18"/>
      <c r="M45" s="18"/>
      <c r="N45" s="18"/>
      <c r="O45" s="18"/>
      <c r="P45" s="20"/>
      <c r="Q45" s="18"/>
      <c r="R45" s="18"/>
      <c r="S45" s="18"/>
      <c r="T45" s="20"/>
      <c r="U45" s="20"/>
      <c r="V45" s="20"/>
    </row>
    <row r="46" spans="1:22" x14ac:dyDescent="0.25">
      <c r="A46" s="219"/>
      <c r="B46" s="3"/>
      <c r="C46" s="18"/>
      <c r="D46" s="18"/>
      <c r="E46" s="18"/>
      <c r="F46" s="18"/>
      <c r="G46" s="18"/>
      <c r="H46" s="18"/>
      <c r="I46" s="18"/>
      <c r="J46" s="18"/>
      <c r="K46" s="18"/>
      <c r="L46" s="18"/>
      <c r="M46" s="18"/>
      <c r="N46" s="18"/>
      <c r="O46" s="18"/>
      <c r="P46" s="20"/>
      <c r="Q46" s="18"/>
      <c r="R46" s="18"/>
      <c r="S46" s="18"/>
      <c r="T46" s="20"/>
      <c r="U46" s="20"/>
      <c r="V46" s="20"/>
    </row>
    <row r="47" spans="1:22" x14ac:dyDescent="0.25">
      <c r="A47" s="219"/>
      <c r="B47" s="3"/>
      <c r="C47" s="18"/>
      <c r="D47" s="18"/>
      <c r="E47" s="18"/>
      <c r="F47" s="18"/>
      <c r="G47" s="18"/>
      <c r="H47" s="18"/>
      <c r="I47" s="18"/>
      <c r="J47" s="18"/>
      <c r="K47" s="18"/>
      <c r="L47" s="18"/>
      <c r="M47" s="18"/>
      <c r="N47" s="18"/>
      <c r="O47" s="18"/>
      <c r="P47" s="20"/>
      <c r="Q47" s="18"/>
      <c r="R47" s="18"/>
      <c r="S47" s="18"/>
      <c r="T47" s="20"/>
      <c r="U47" s="20"/>
      <c r="V47" s="20"/>
    </row>
    <row r="48" spans="1:22" x14ac:dyDescent="0.25">
      <c r="A48" s="219"/>
      <c r="B48" s="3"/>
      <c r="C48" s="18"/>
      <c r="D48" s="18"/>
      <c r="E48" s="18"/>
      <c r="F48" s="18"/>
      <c r="G48" s="18"/>
      <c r="H48" s="18"/>
      <c r="I48" s="18"/>
      <c r="J48" s="18"/>
      <c r="K48" s="18"/>
      <c r="L48" s="18"/>
      <c r="M48" s="18"/>
      <c r="N48" s="18"/>
      <c r="O48" s="18"/>
      <c r="P48" s="20"/>
      <c r="Q48" s="18"/>
      <c r="R48" s="18"/>
      <c r="S48" s="18"/>
      <c r="T48" s="20"/>
      <c r="U48" s="20"/>
      <c r="V48" s="20"/>
    </row>
    <row r="49" spans="1:22" x14ac:dyDescent="0.25">
      <c r="A49" s="219"/>
      <c r="B49" s="3"/>
      <c r="C49" s="18"/>
      <c r="D49" s="18"/>
      <c r="E49" s="18"/>
      <c r="F49" s="18"/>
      <c r="G49" s="18"/>
      <c r="H49" s="18"/>
      <c r="I49" s="18"/>
      <c r="J49" s="18"/>
      <c r="K49" s="18"/>
      <c r="L49" s="18"/>
      <c r="M49" s="18"/>
      <c r="N49" s="18"/>
      <c r="O49" s="18"/>
      <c r="P49" s="20"/>
      <c r="Q49" s="18"/>
      <c r="R49" s="18"/>
      <c r="S49" s="18"/>
      <c r="T49" s="20"/>
      <c r="U49" s="20"/>
      <c r="V49" s="20"/>
    </row>
    <row r="50" spans="1:22" x14ac:dyDescent="0.25">
      <c r="A50" s="219"/>
      <c r="B50" s="3"/>
      <c r="C50" s="18"/>
      <c r="D50" s="18"/>
      <c r="E50" s="18"/>
      <c r="F50" s="18"/>
      <c r="G50" s="18"/>
      <c r="H50" s="18"/>
      <c r="I50" s="18"/>
      <c r="J50" s="18"/>
      <c r="K50" s="18"/>
      <c r="L50" s="18"/>
      <c r="M50" s="18"/>
      <c r="N50" s="18"/>
      <c r="O50" s="18"/>
      <c r="P50" s="20"/>
      <c r="Q50" s="18"/>
      <c r="R50" s="18"/>
      <c r="S50" s="18"/>
      <c r="T50" s="20"/>
      <c r="U50" s="20"/>
      <c r="V50" s="20"/>
    </row>
    <row r="51" spans="1:22" x14ac:dyDescent="0.25">
      <c r="A51" s="219"/>
      <c r="B51" s="3"/>
      <c r="C51" s="18"/>
      <c r="D51" s="18"/>
      <c r="E51" s="18"/>
      <c r="F51" s="18"/>
      <c r="G51" s="18"/>
      <c r="H51" s="18"/>
      <c r="I51" s="18"/>
      <c r="J51" s="18"/>
      <c r="K51" s="18"/>
      <c r="L51" s="18"/>
      <c r="M51" s="18"/>
      <c r="N51" s="18"/>
      <c r="O51" s="18"/>
      <c r="P51" s="20"/>
      <c r="Q51" s="18"/>
      <c r="R51" s="18"/>
      <c r="S51" s="18"/>
      <c r="T51" s="20"/>
      <c r="U51" s="20"/>
      <c r="V51" s="20"/>
    </row>
    <row r="52" spans="1:22" x14ac:dyDescent="0.25">
      <c r="A52" s="219"/>
      <c r="B52" s="3"/>
      <c r="C52" s="18"/>
      <c r="D52" s="18"/>
      <c r="E52" s="18"/>
      <c r="F52" s="18"/>
      <c r="G52" s="18"/>
      <c r="H52" s="18"/>
      <c r="I52" s="18"/>
      <c r="J52" s="18"/>
      <c r="K52" s="18"/>
      <c r="L52" s="18"/>
      <c r="M52" s="18"/>
      <c r="N52" s="18"/>
      <c r="O52" s="18"/>
      <c r="P52" s="20"/>
      <c r="Q52" s="18"/>
      <c r="R52" s="18"/>
      <c r="S52" s="18"/>
      <c r="T52" s="20"/>
      <c r="U52" s="20"/>
      <c r="V52" s="20"/>
    </row>
    <row r="53" spans="1:22" x14ac:dyDescent="0.25">
      <c r="A53" s="219"/>
      <c r="B53" s="3"/>
      <c r="C53" s="18"/>
      <c r="D53" s="18"/>
      <c r="E53" s="18"/>
      <c r="F53" s="18"/>
      <c r="G53" s="18"/>
      <c r="H53" s="18"/>
      <c r="I53" s="18"/>
      <c r="J53" s="18"/>
      <c r="K53" s="18"/>
      <c r="L53" s="18"/>
      <c r="M53" s="18"/>
      <c r="N53" s="18"/>
      <c r="O53" s="18"/>
      <c r="P53" s="20"/>
      <c r="Q53" s="18"/>
      <c r="R53" s="18"/>
      <c r="S53" s="18"/>
      <c r="T53" s="20"/>
      <c r="U53" s="20"/>
      <c r="V53" s="20"/>
    </row>
    <row r="54" spans="1:22" x14ac:dyDescent="0.25">
      <c r="A54" s="219"/>
      <c r="B54" s="3"/>
      <c r="C54" s="18"/>
      <c r="D54" s="18"/>
      <c r="E54" s="18"/>
      <c r="F54" s="18"/>
      <c r="G54" s="18"/>
      <c r="H54" s="18"/>
      <c r="I54" s="18"/>
      <c r="J54" s="18"/>
      <c r="K54" s="18"/>
      <c r="L54" s="18"/>
      <c r="M54" s="18"/>
      <c r="N54" s="18"/>
      <c r="O54" s="18"/>
      <c r="P54" s="20"/>
      <c r="Q54" s="18"/>
      <c r="R54" s="18"/>
      <c r="S54" s="18"/>
      <c r="T54" s="20"/>
      <c r="U54" s="20"/>
      <c r="V54" s="20"/>
    </row>
    <row r="55" spans="1:22" x14ac:dyDescent="0.25">
      <c r="A55" s="219"/>
      <c r="B55" s="3"/>
      <c r="C55" s="18"/>
      <c r="D55" s="18"/>
      <c r="E55" s="18"/>
      <c r="F55" s="18"/>
      <c r="G55" s="18"/>
      <c r="H55" s="18"/>
      <c r="I55" s="18"/>
      <c r="J55" s="18"/>
      <c r="K55" s="18"/>
      <c r="L55" s="18"/>
      <c r="M55" s="18"/>
      <c r="N55" s="18"/>
      <c r="O55" s="18"/>
      <c r="P55" s="20"/>
      <c r="Q55" s="18"/>
      <c r="R55" s="18"/>
      <c r="S55" s="18"/>
      <c r="T55" s="20"/>
      <c r="U55" s="20"/>
      <c r="V55" s="20"/>
    </row>
    <row r="56" spans="1:22" x14ac:dyDescent="0.25">
      <c r="A56" s="219"/>
      <c r="B56" s="3"/>
      <c r="C56" s="18"/>
      <c r="D56" s="18"/>
      <c r="E56" s="18"/>
      <c r="F56" s="18"/>
      <c r="G56" s="18"/>
      <c r="H56" s="18"/>
      <c r="I56" s="18"/>
      <c r="J56" s="18"/>
      <c r="K56" s="18"/>
      <c r="L56" s="18"/>
      <c r="M56" s="18"/>
      <c r="N56" s="18"/>
      <c r="O56" s="18"/>
      <c r="P56" s="20"/>
      <c r="Q56" s="18"/>
      <c r="R56" s="18"/>
      <c r="S56" s="18"/>
      <c r="T56" s="20"/>
      <c r="U56" s="20"/>
      <c r="V56" s="20"/>
    </row>
    <row r="57" spans="1:22" x14ac:dyDescent="0.25">
      <c r="A57" s="219"/>
      <c r="B57" s="3"/>
      <c r="C57" s="18"/>
      <c r="D57" s="18"/>
      <c r="E57" s="18"/>
      <c r="F57" s="18"/>
      <c r="G57" s="18"/>
      <c r="H57" s="18"/>
      <c r="I57" s="18"/>
      <c r="J57" s="18"/>
      <c r="K57" s="18"/>
      <c r="L57" s="18"/>
      <c r="M57" s="18"/>
      <c r="N57" s="18"/>
      <c r="O57" s="18"/>
      <c r="P57" s="20"/>
      <c r="Q57" s="18"/>
      <c r="R57" s="18"/>
      <c r="S57" s="18"/>
      <c r="T57" s="20"/>
      <c r="U57" s="20"/>
      <c r="V57" s="20"/>
    </row>
    <row r="58" spans="1:22" x14ac:dyDescent="0.25">
      <c r="A58" s="219"/>
      <c r="B58" s="3"/>
      <c r="C58" s="18"/>
      <c r="D58" s="18"/>
      <c r="E58" s="18"/>
      <c r="F58" s="18"/>
      <c r="G58" s="18"/>
      <c r="H58" s="18"/>
      <c r="I58" s="18"/>
      <c r="J58" s="18"/>
      <c r="K58" s="18"/>
      <c r="L58" s="18"/>
      <c r="M58" s="18"/>
      <c r="N58" s="18"/>
      <c r="O58" s="18"/>
      <c r="P58" s="3"/>
      <c r="Q58" s="18"/>
      <c r="R58" s="18"/>
      <c r="S58" s="18"/>
      <c r="T58" s="3"/>
      <c r="U58" s="3"/>
      <c r="V58" s="3"/>
    </row>
    <row r="59" spans="1:22" x14ac:dyDescent="0.25">
      <c r="A59" s="219"/>
      <c r="B59" s="3"/>
      <c r="C59" s="18"/>
      <c r="D59" s="18"/>
      <c r="E59" s="18"/>
      <c r="F59" s="18"/>
      <c r="G59" s="18"/>
      <c r="H59" s="18"/>
      <c r="I59" s="18"/>
      <c r="J59" s="18"/>
      <c r="K59" s="18"/>
      <c r="L59" s="18"/>
      <c r="M59" s="18"/>
      <c r="N59" s="18"/>
      <c r="O59" s="18"/>
      <c r="P59" s="3"/>
      <c r="Q59" s="18"/>
      <c r="R59" s="18"/>
      <c r="S59" s="18"/>
      <c r="T59" s="3"/>
      <c r="U59" s="3"/>
      <c r="V59" s="3"/>
    </row>
    <row r="60" spans="1:22" x14ac:dyDescent="0.25">
      <c r="A60" s="219"/>
      <c r="B60" s="3"/>
      <c r="C60" s="18"/>
      <c r="D60" s="18"/>
      <c r="E60" s="18"/>
      <c r="F60" s="18"/>
      <c r="G60" s="18"/>
      <c r="H60" s="18"/>
      <c r="I60" s="18"/>
      <c r="J60" s="18"/>
      <c r="K60" s="18"/>
      <c r="L60" s="18"/>
      <c r="M60" s="18"/>
      <c r="N60" s="18"/>
      <c r="O60" s="18"/>
      <c r="P60" s="3"/>
      <c r="Q60" s="18"/>
      <c r="R60" s="18"/>
      <c r="S60" s="18"/>
      <c r="T60" s="3"/>
      <c r="U60" s="3"/>
      <c r="V60" s="3"/>
    </row>
    <row r="61" spans="1:22" x14ac:dyDescent="0.25">
      <c r="A61" s="219"/>
      <c r="B61" s="3"/>
      <c r="C61" s="18"/>
      <c r="D61" s="18"/>
      <c r="E61" s="18"/>
      <c r="F61" s="18"/>
      <c r="G61" s="18"/>
      <c r="H61" s="18"/>
      <c r="I61" s="18"/>
      <c r="J61" s="18"/>
      <c r="K61" s="18"/>
      <c r="L61" s="18"/>
      <c r="M61" s="18"/>
      <c r="N61" s="18"/>
      <c r="O61" s="18"/>
      <c r="P61" s="3"/>
      <c r="Q61" s="18"/>
      <c r="R61" s="18"/>
      <c r="S61" s="18"/>
      <c r="T61" s="3"/>
      <c r="U61" s="3"/>
      <c r="V61" s="3"/>
    </row>
    <row r="62" spans="1:22" x14ac:dyDescent="0.25">
      <c r="A62" s="219"/>
      <c r="B62" s="3"/>
      <c r="C62" s="18"/>
      <c r="D62" s="18"/>
      <c r="E62" s="18"/>
      <c r="F62" s="18"/>
      <c r="G62" s="18"/>
      <c r="H62" s="18"/>
      <c r="I62" s="18"/>
      <c r="J62" s="18"/>
      <c r="K62" s="18"/>
      <c r="L62" s="18"/>
      <c r="M62" s="18"/>
      <c r="N62" s="18"/>
      <c r="O62" s="18"/>
      <c r="P62" s="3"/>
      <c r="Q62" s="18"/>
      <c r="R62" s="18"/>
      <c r="S62" s="18"/>
      <c r="T62" s="3"/>
      <c r="U62" s="3"/>
      <c r="V62" s="3"/>
    </row>
    <row r="63" spans="1:22" x14ac:dyDescent="0.25">
      <c r="A63" s="219"/>
      <c r="B63" s="3"/>
      <c r="C63" s="18"/>
      <c r="D63" s="18"/>
      <c r="E63" s="18"/>
      <c r="F63" s="18"/>
      <c r="G63" s="18"/>
      <c r="H63" s="18"/>
      <c r="I63" s="18"/>
      <c r="J63" s="18"/>
      <c r="K63" s="18"/>
      <c r="L63" s="18"/>
      <c r="M63" s="18"/>
      <c r="N63" s="18"/>
      <c r="O63" s="18"/>
      <c r="P63" s="3"/>
      <c r="Q63" s="18"/>
      <c r="R63" s="18"/>
      <c r="S63" s="18"/>
      <c r="T63" s="3"/>
      <c r="U63" s="3"/>
      <c r="V63" s="3"/>
    </row>
    <row r="64" spans="1:22" x14ac:dyDescent="0.25">
      <c r="A64" s="219"/>
      <c r="B64" s="3"/>
      <c r="C64" s="18"/>
      <c r="D64" s="18"/>
      <c r="E64" s="18"/>
      <c r="F64" s="18"/>
      <c r="G64" s="18"/>
      <c r="H64" s="18"/>
      <c r="I64" s="18"/>
      <c r="J64" s="18"/>
      <c r="K64" s="18"/>
      <c r="L64" s="18"/>
      <c r="M64" s="18"/>
      <c r="N64" s="18"/>
      <c r="O64" s="18"/>
      <c r="P64" s="3"/>
      <c r="Q64" s="18"/>
      <c r="R64" s="18"/>
      <c r="S64" s="18"/>
      <c r="T64" s="3"/>
      <c r="U64" s="3"/>
      <c r="V64" s="3"/>
    </row>
    <row r="65" spans="1:22" x14ac:dyDescent="0.25">
      <c r="A65" s="219"/>
      <c r="B65" s="3"/>
      <c r="C65" s="18"/>
      <c r="D65" s="18"/>
      <c r="E65" s="18"/>
      <c r="F65" s="18"/>
      <c r="G65" s="18"/>
      <c r="H65" s="18"/>
      <c r="I65" s="18"/>
      <c r="J65" s="18"/>
      <c r="K65" s="18"/>
      <c r="L65" s="18"/>
      <c r="M65" s="18"/>
      <c r="N65" s="18"/>
      <c r="O65" s="18"/>
      <c r="P65" s="3"/>
      <c r="Q65" s="18"/>
      <c r="R65" s="18"/>
      <c r="S65" s="18"/>
      <c r="T65" s="3"/>
      <c r="U65" s="3"/>
      <c r="V65" s="3"/>
    </row>
    <row r="66" spans="1:22" x14ac:dyDescent="0.25">
      <c r="A66" s="219"/>
      <c r="B66" s="3"/>
      <c r="C66" s="18"/>
      <c r="D66" s="18"/>
      <c r="E66" s="18"/>
      <c r="F66" s="18"/>
      <c r="G66" s="18"/>
      <c r="H66" s="18"/>
      <c r="I66" s="18"/>
      <c r="J66" s="18"/>
      <c r="K66" s="18"/>
      <c r="L66" s="18"/>
      <c r="M66" s="18"/>
      <c r="N66" s="18"/>
      <c r="O66" s="18"/>
      <c r="P66" s="3"/>
      <c r="Q66" s="18"/>
      <c r="R66" s="18"/>
      <c r="S66" s="18"/>
      <c r="T66" s="3"/>
      <c r="U66" s="3"/>
      <c r="V66" s="3"/>
    </row>
    <row r="67" spans="1:22" x14ac:dyDescent="0.25">
      <c r="A67" s="219"/>
      <c r="B67" s="3"/>
      <c r="C67" s="18"/>
      <c r="D67" s="18"/>
      <c r="E67" s="18"/>
      <c r="F67" s="18"/>
      <c r="G67" s="18"/>
      <c r="H67" s="18"/>
      <c r="I67" s="18"/>
      <c r="J67" s="18"/>
      <c r="K67" s="18"/>
      <c r="L67" s="18"/>
      <c r="M67" s="18"/>
      <c r="N67" s="18"/>
      <c r="O67" s="18"/>
      <c r="P67" s="3"/>
      <c r="Q67" s="18"/>
      <c r="R67" s="18"/>
      <c r="S67" s="18"/>
      <c r="T67" s="3"/>
      <c r="U67" s="3"/>
      <c r="V67" s="3"/>
    </row>
    <row r="68" spans="1:22" x14ac:dyDescent="0.25">
      <c r="A68" s="219"/>
      <c r="B68" s="3"/>
      <c r="C68" s="18"/>
      <c r="D68" s="18"/>
      <c r="E68" s="18"/>
      <c r="F68" s="18"/>
      <c r="G68" s="18"/>
      <c r="H68" s="18"/>
      <c r="I68" s="18"/>
      <c r="J68" s="18"/>
      <c r="K68" s="18"/>
      <c r="L68" s="18"/>
      <c r="M68" s="18"/>
      <c r="N68" s="18"/>
      <c r="O68" s="18"/>
      <c r="P68" s="3"/>
      <c r="Q68" s="18"/>
      <c r="R68" s="18"/>
      <c r="S68" s="18"/>
      <c r="T68" s="3"/>
      <c r="U68" s="3"/>
      <c r="V68" s="3"/>
    </row>
    <row r="69" spans="1:22" x14ac:dyDescent="0.25">
      <c r="A69" s="219"/>
      <c r="B69" s="3"/>
      <c r="C69" s="18"/>
      <c r="D69" s="18"/>
      <c r="E69" s="18"/>
      <c r="F69" s="18"/>
      <c r="G69" s="18"/>
      <c r="H69" s="18"/>
      <c r="I69" s="18"/>
      <c r="J69" s="18"/>
      <c r="K69" s="18"/>
      <c r="L69" s="18"/>
      <c r="M69" s="18"/>
      <c r="N69" s="18"/>
      <c r="O69" s="18"/>
      <c r="P69" s="3"/>
      <c r="Q69" s="18"/>
      <c r="R69" s="18"/>
      <c r="S69" s="18"/>
      <c r="T69" s="3"/>
      <c r="U69" s="3"/>
      <c r="V69" s="3"/>
    </row>
    <row r="70" spans="1:22" x14ac:dyDescent="0.25">
      <c r="A70" s="219"/>
      <c r="B70" s="3"/>
      <c r="C70" s="18"/>
      <c r="D70" s="18"/>
      <c r="E70" s="18"/>
      <c r="F70" s="18"/>
      <c r="G70" s="18"/>
      <c r="H70" s="18"/>
      <c r="I70" s="18"/>
      <c r="J70" s="18"/>
      <c r="K70" s="18"/>
      <c r="L70" s="18"/>
      <c r="M70" s="18"/>
      <c r="N70" s="18"/>
      <c r="O70" s="18"/>
      <c r="P70" s="3"/>
      <c r="Q70" s="18"/>
      <c r="R70" s="18"/>
      <c r="S70" s="18"/>
      <c r="T70" s="3"/>
      <c r="U70" s="3"/>
      <c r="V70" s="3"/>
    </row>
    <row r="71" spans="1:22" x14ac:dyDescent="0.25">
      <c r="A71" s="219"/>
      <c r="B71" s="3"/>
      <c r="C71" s="18"/>
      <c r="D71" s="18"/>
      <c r="E71" s="18"/>
      <c r="F71" s="18"/>
      <c r="G71" s="18"/>
      <c r="H71" s="18"/>
      <c r="I71" s="18"/>
      <c r="J71" s="18"/>
      <c r="K71" s="18"/>
      <c r="L71" s="18"/>
      <c r="M71" s="18"/>
      <c r="N71" s="18"/>
      <c r="O71" s="18"/>
      <c r="P71" s="3"/>
      <c r="Q71" s="18"/>
      <c r="R71" s="18"/>
      <c r="S71" s="18"/>
      <c r="T71" s="3"/>
      <c r="U71" s="3"/>
      <c r="V71" s="3"/>
    </row>
    <row r="72" spans="1:22" x14ac:dyDescent="0.25">
      <c r="A72" s="219"/>
      <c r="B72" s="3"/>
      <c r="C72" s="18"/>
      <c r="D72" s="18"/>
      <c r="E72" s="18"/>
      <c r="F72" s="18"/>
      <c r="G72" s="18"/>
      <c r="H72" s="18"/>
      <c r="I72" s="18"/>
      <c r="J72" s="18"/>
      <c r="K72" s="18"/>
      <c r="L72" s="18"/>
      <c r="M72" s="18"/>
      <c r="N72" s="18"/>
      <c r="O72" s="18"/>
      <c r="P72" s="3"/>
      <c r="Q72" s="18"/>
      <c r="R72" s="18"/>
      <c r="S72" s="18"/>
      <c r="T72" s="3"/>
      <c r="U72" s="3"/>
      <c r="V72" s="3"/>
    </row>
    <row r="73" spans="1:22" x14ac:dyDescent="0.25">
      <c r="A73" s="219"/>
      <c r="B73" s="3"/>
      <c r="C73" s="18"/>
      <c r="D73" s="18"/>
      <c r="E73" s="18"/>
      <c r="F73" s="18"/>
      <c r="G73" s="18"/>
      <c r="H73" s="18"/>
      <c r="I73" s="18"/>
      <c r="J73" s="18"/>
      <c r="K73" s="18"/>
      <c r="L73" s="18"/>
      <c r="M73" s="18"/>
      <c r="N73" s="18"/>
      <c r="O73" s="18"/>
      <c r="P73" s="3"/>
      <c r="Q73" s="18"/>
      <c r="R73" s="18"/>
      <c r="S73" s="18"/>
      <c r="T73" s="3"/>
      <c r="U73" s="3"/>
      <c r="V73" s="3"/>
    </row>
    <row r="74" spans="1:22" x14ac:dyDescent="0.25">
      <c r="A74" s="219"/>
      <c r="B74" s="3"/>
      <c r="C74" s="18"/>
      <c r="D74" s="18"/>
      <c r="E74" s="18"/>
      <c r="F74" s="18"/>
      <c r="G74" s="18"/>
      <c r="H74" s="18"/>
      <c r="I74" s="18"/>
      <c r="J74" s="18"/>
      <c r="K74" s="18"/>
      <c r="L74" s="18"/>
      <c r="M74" s="18"/>
      <c r="N74" s="18"/>
      <c r="O74" s="18"/>
      <c r="P74" s="3"/>
      <c r="Q74" s="18"/>
      <c r="R74" s="18"/>
      <c r="S74" s="18"/>
      <c r="T74" s="3"/>
      <c r="U74" s="3"/>
      <c r="V74" s="3"/>
    </row>
    <row r="75" spans="1:22" x14ac:dyDescent="0.25">
      <c r="A75" s="219"/>
      <c r="B75" s="3"/>
      <c r="C75" s="18"/>
      <c r="D75" s="18"/>
      <c r="E75" s="18"/>
      <c r="F75" s="18"/>
      <c r="G75" s="18"/>
      <c r="H75" s="18"/>
      <c r="I75" s="18"/>
      <c r="J75" s="18"/>
      <c r="K75" s="18"/>
      <c r="L75" s="18"/>
      <c r="M75" s="18"/>
      <c r="N75" s="18"/>
      <c r="O75" s="18"/>
      <c r="P75" s="3"/>
      <c r="Q75" s="18"/>
      <c r="R75" s="18"/>
      <c r="S75" s="18"/>
      <c r="T75" s="3"/>
      <c r="U75" s="3"/>
      <c r="V75" s="3"/>
    </row>
    <row r="76" spans="1:22" x14ac:dyDescent="0.25">
      <c r="A76" s="219"/>
      <c r="B76" s="3"/>
      <c r="C76" s="18"/>
      <c r="D76" s="18"/>
      <c r="E76" s="18"/>
      <c r="F76" s="18"/>
      <c r="G76" s="18"/>
      <c r="H76" s="18"/>
      <c r="I76" s="18"/>
      <c r="J76" s="18"/>
      <c r="K76" s="18"/>
      <c r="L76" s="18"/>
      <c r="M76" s="18"/>
      <c r="N76" s="18"/>
      <c r="O76" s="18"/>
      <c r="P76" s="3"/>
      <c r="Q76" s="18"/>
      <c r="R76" s="18"/>
      <c r="S76" s="18"/>
      <c r="T76" s="3"/>
      <c r="U76" s="3"/>
      <c r="V76" s="3"/>
    </row>
    <row r="77" spans="1:22" x14ac:dyDescent="0.25">
      <c r="A77" s="219"/>
      <c r="B77" s="3"/>
      <c r="C77" s="18"/>
      <c r="D77" s="18"/>
      <c r="E77" s="18"/>
      <c r="F77" s="18"/>
      <c r="G77" s="18"/>
      <c r="H77" s="18"/>
      <c r="I77" s="18"/>
      <c r="J77" s="18"/>
      <c r="K77" s="18"/>
      <c r="L77" s="18"/>
      <c r="M77" s="18"/>
      <c r="N77" s="18"/>
      <c r="O77" s="18"/>
      <c r="P77" s="3"/>
      <c r="Q77" s="18"/>
      <c r="R77" s="18"/>
      <c r="S77" s="18"/>
      <c r="T77" s="3"/>
      <c r="U77" s="3"/>
      <c r="V77" s="3"/>
    </row>
    <row r="78" spans="1:22" x14ac:dyDescent="0.25">
      <c r="A78" s="219"/>
      <c r="B78" s="3"/>
      <c r="C78" s="18"/>
      <c r="D78" s="18"/>
      <c r="E78" s="18"/>
      <c r="F78" s="18"/>
      <c r="G78" s="18"/>
      <c r="H78" s="18"/>
      <c r="I78" s="18"/>
      <c r="J78" s="18"/>
      <c r="K78" s="18"/>
      <c r="L78" s="18"/>
      <c r="M78" s="18"/>
      <c r="N78" s="18"/>
      <c r="O78" s="18"/>
      <c r="P78" s="3"/>
      <c r="Q78" s="18"/>
      <c r="R78" s="18"/>
      <c r="S78" s="18"/>
      <c r="T78" s="3"/>
      <c r="U78" s="3"/>
      <c r="V78" s="3"/>
    </row>
    <row r="79" spans="1:22" x14ac:dyDescent="0.25">
      <c r="A79" s="219"/>
      <c r="B79" s="3"/>
      <c r="C79" s="18"/>
      <c r="D79" s="18"/>
      <c r="E79" s="18"/>
      <c r="F79" s="18"/>
      <c r="G79" s="18"/>
      <c r="H79" s="18"/>
      <c r="I79" s="18"/>
      <c r="J79" s="18"/>
      <c r="K79" s="18"/>
      <c r="L79" s="18"/>
      <c r="M79" s="18"/>
      <c r="N79" s="18"/>
      <c r="O79" s="18"/>
      <c r="P79" s="3"/>
      <c r="Q79" s="18"/>
      <c r="R79" s="18"/>
      <c r="S79" s="18"/>
      <c r="T79" s="3"/>
      <c r="U79" s="3"/>
      <c r="V79" s="3"/>
    </row>
    <row r="80" spans="1:22" x14ac:dyDescent="0.25">
      <c r="A80" s="219"/>
      <c r="B80" s="3"/>
      <c r="C80" s="18"/>
      <c r="D80" s="18"/>
      <c r="E80" s="18"/>
      <c r="F80" s="18"/>
      <c r="G80" s="18"/>
      <c r="H80" s="18"/>
      <c r="I80" s="18"/>
      <c r="J80" s="18"/>
      <c r="K80" s="18"/>
      <c r="L80" s="18"/>
      <c r="M80" s="18"/>
      <c r="N80" s="18"/>
      <c r="O80" s="18"/>
      <c r="P80" s="3"/>
      <c r="Q80" s="18"/>
      <c r="R80" s="18"/>
      <c r="S80" s="18"/>
      <c r="T80" s="3"/>
      <c r="U80" s="3"/>
      <c r="V80" s="3"/>
    </row>
    <row r="81" spans="1:22" x14ac:dyDescent="0.25">
      <c r="A81" s="219"/>
      <c r="B81" s="3"/>
      <c r="C81" s="18"/>
      <c r="D81" s="18"/>
      <c r="E81" s="18"/>
      <c r="F81" s="18"/>
      <c r="G81" s="18"/>
      <c r="H81" s="18"/>
      <c r="I81" s="18"/>
      <c r="J81" s="18"/>
      <c r="K81" s="18"/>
      <c r="L81" s="18"/>
      <c r="M81" s="18"/>
      <c r="N81" s="18"/>
      <c r="O81" s="18"/>
      <c r="P81" s="3"/>
      <c r="Q81" s="18"/>
      <c r="R81" s="18"/>
      <c r="S81" s="18"/>
      <c r="T81" s="3"/>
      <c r="U81" s="3"/>
      <c r="V81" s="3"/>
    </row>
    <row r="82" spans="1:22" x14ac:dyDescent="0.25">
      <c r="A82" s="219"/>
      <c r="B82" s="3"/>
      <c r="C82" s="18"/>
      <c r="D82" s="18"/>
      <c r="E82" s="18"/>
      <c r="F82" s="18"/>
      <c r="G82" s="18"/>
      <c r="H82" s="18"/>
      <c r="I82" s="18"/>
      <c r="J82" s="18"/>
      <c r="K82" s="18"/>
      <c r="L82" s="18"/>
      <c r="M82" s="18"/>
      <c r="N82" s="18"/>
      <c r="O82" s="18"/>
      <c r="P82" s="3"/>
      <c r="Q82" s="18"/>
      <c r="R82" s="18"/>
      <c r="S82" s="18"/>
      <c r="T82" s="3"/>
      <c r="U82" s="3"/>
      <c r="V82" s="3"/>
    </row>
    <row r="83" spans="1:22" x14ac:dyDescent="0.25">
      <c r="A83" s="219"/>
      <c r="B83" s="3"/>
      <c r="C83" s="18"/>
      <c r="D83" s="18"/>
      <c r="E83" s="18"/>
      <c r="F83" s="18"/>
      <c r="G83" s="18"/>
      <c r="H83" s="18"/>
      <c r="I83" s="18"/>
      <c r="J83" s="18"/>
      <c r="K83" s="18"/>
      <c r="L83" s="18"/>
      <c r="M83" s="18"/>
      <c r="N83" s="18"/>
      <c r="O83" s="18"/>
      <c r="P83" s="3"/>
      <c r="Q83" s="18"/>
      <c r="R83" s="18"/>
      <c r="S83" s="18"/>
      <c r="T83" s="3"/>
      <c r="U83" s="3"/>
      <c r="V83" s="3"/>
    </row>
    <row r="84" spans="1:22" x14ac:dyDescent="0.25">
      <c r="A84" s="219"/>
      <c r="B84" s="3"/>
      <c r="C84" s="18"/>
      <c r="D84" s="18"/>
      <c r="E84" s="18"/>
      <c r="F84" s="18"/>
      <c r="G84" s="18"/>
      <c r="H84" s="18"/>
      <c r="I84" s="18"/>
      <c r="J84" s="18"/>
      <c r="K84" s="18"/>
      <c r="L84" s="18"/>
      <c r="M84" s="18"/>
      <c r="N84" s="18"/>
      <c r="O84" s="18"/>
      <c r="P84" s="3"/>
      <c r="Q84" s="18"/>
      <c r="R84" s="18"/>
      <c r="S84" s="18"/>
      <c r="T84" s="3"/>
      <c r="U84" s="3"/>
      <c r="V84" s="3"/>
    </row>
    <row r="85" spans="1:22" x14ac:dyDescent="0.25">
      <c r="A85" s="219"/>
      <c r="B85" s="3"/>
      <c r="C85" s="18"/>
      <c r="D85" s="18"/>
      <c r="E85" s="18"/>
      <c r="F85" s="18"/>
      <c r="G85" s="18"/>
      <c r="H85" s="18"/>
      <c r="I85" s="18"/>
      <c r="J85" s="18"/>
      <c r="K85" s="18"/>
      <c r="L85" s="18"/>
      <c r="M85" s="18"/>
      <c r="N85" s="18"/>
      <c r="O85" s="18"/>
      <c r="P85" s="3"/>
      <c r="Q85" s="18"/>
      <c r="R85" s="18"/>
      <c r="S85" s="18"/>
      <c r="T85" s="3"/>
      <c r="U85" s="3"/>
      <c r="V85" s="3"/>
    </row>
    <row r="86" spans="1:22" x14ac:dyDescent="0.25">
      <c r="A86" s="219"/>
      <c r="B86" s="3"/>
      <c r="C86" s="18"/>
      <c r="D86" s="18"/>
      <c r="E86" s="18"/>
      <c r="F86" s="18"/>
      <c r="G86" s="18"/>
      <c r="H86" s="18"/>
      <c r="I86" s="18"/>
      <c r="J86" s="18"/>
      <c r="K86" s="18"/>
      <c r="L86" s="18"/>
      <c r="M86" s="18"/>
      <c r="N86" s="18"/>
      <c r="O86" s="18"/>
      <c r="P86" s="3"/>
      <c r="Q86" s="18"/>
      <c r="R86" s="18"/>
      <c r="S86" s="18"/>
      <c r="T86" s="3"/>
      <c r="U86" s="3"/>
      <c r="V86" s="3"/>
    </row>
    <row r="87" spans="1:22" x14ac:dyDescent="0.25">
      <c r="A87" s="219"/>
      <c r="B87" s="3"/>
      <c r="C87" s="18"/>
      <c r="D87" s="18"/>
      <c r="E87" s="18"/>
      <c r="F87" s="18"/>
      <c r="G87" s="18"/>
      <c r="H87" s="18"/>
      <c r="I87" s="18"/>
      <c r="J87" s="18"/>
      <c r="K87" s="18"/>
      <c r="L87" s="18"/>
      <c r="M87" s="18"/>
      <c r="N87" s="18"/>
      <c r="O87" s="18"/>
      <c r="P87" s="3"/>
      <c r="Q87" s="18"/>
      <c r="R87" s="18"/>
      <c r="S87" s="18"/>
      <c r="T87" s="3"/>
      <c r="U87" s="3"/>
      <c r="V87" s="3"/>
    </row>
    <row r="88" spans="1:22" x14ac:dyDescent="0.25">
      <c r="A88" s="219"/>
      <c r="B88" s="3"/>
      <c r="C88" s="18"/>
      <c r="D88" s="18"/>
      <c r="E88" s="18"/>
      <c r="F88" s="18"/>
      <c r="G88" s="18"/>
      <c r="H88" s="18"/>
      <c r="I88" s="18"/>
      <c r="J88" s="18"/>
      <c r="K88" s="18"/>
      <c r="L88" s="18"/>
      <c r="M88" s="18"/>
      <c r="N88" s="18"/>
      <c r="O88" s="18"/>
      <c r="P88" s="3"/>
      <c r="Q88" s="18"/>
      <c r="R88" s="18"/>
      <c r="S88" s="18"/>
      <c r="T88" s="3"/>
      <c r="U88" s="3"/>
      <c r="V88" s="3"/>
    </row>
    <row r="89" spans="1:22" x14ac:dyDescent="0.25">
      <c r="A89" s="219"/>
      <c r="B89" s="3"/>
      <c r="C89" s="18"/>
      <c r="D89" s="18"/>
      <c r="E89" s="18"/>
      <c r="F89" s="18"/>
      <c r="G89" s="18"/>
      <c r="H89" s="18"/>
      <c r="I89" s="18"/>
      <c r="J89" s="18"/>
      <c r="K89" s="18"/>
      <c r="L89" s="18"/>
      <c r="M89" s="18"/>
      <c r="N89" s="18"/>
      <c r="O89" s="18"/>
      <c r="P89" s="3"/>
      <c r="Q89" s="18"/>
      <c r="R89" s="18"/>
      <c r="S89" s="18"/>
      <c r="T89" s="3"/>
      <c r="U89" s="3"/>
      <c r="V89" s="3"/>
    </row>
    <row r="90" spans="1:22" x14ac:dyDescent="0.25">
      <c r="A90" s="219"/>
      <c r="B90" s="3"/>
      <c r="C90" s="18"/>
      <c r="D90" s="18"/>
      <c r="E90" s="18"/>
      <c r="F90" s="18"/>
      <c r="G90" s="18"/>
      <c r="H90" s="18"/>
      <c r="I90" s="18"/>
      <c r="J90" s="18"/>
      <c r="K90" s="18"/>
      <c r="L90" s="18"/>
      <c r="M90" s="18"/>
      <c r="N90" s="18"/>
      <c r="O90" s="18"/>
      <c r="P90" s="3"/>
      <c r="Q90" s="18"/>
      <c r="R90" s="18"/>
      <c r="S90" s="18"/>
      <c r="T90" s="3"/>
      <c r="U90" s="3"/>
      <c r="V90" s="3"/>
    </row>
    <row r="91" spans="1:22" x14ac:dyDescent="0.25">
      <c r="A91" s="219"/>
      <c r="B91" s="3"/>
      <c r="C91" s="18"/>
      <c r="D91" s="18"/>
      <c r="E91" s="18"/>
      <c r="F91" s="18"/>
      <c r="G91" s="18"/>
      <c r="H91" s="18"/>
      <c r="I91" s="18"/>
      <c r="J91" s="18"/>
      <c r="K91" s="18"/>
      <c r="L91" s="18"/>
      <c r="M91" s="18"/>
      <c r="N91" s="18"/>
      <c r="O91" s="18"/>
      <c r="P91" s="3"/>
      <c r="Q91" s="18"/>
      <c r="R91" s="18"/>
      <c r="S91" s="18"/>
      <c r="T91" s="3"/>
      <c r="U91" s="3"/>
      <c r="V91" s="3"/>
    </row>
    <row r="92" spans="1:22" x14ac:dyDescent="0.25">
      <c r="A92" s="219"/>
      <c r="B92" s="3"/>
      <c r="C92" s="18"/>
      <c r="D92" s="18"/>
      <c r="E92" s="18"/>
      <c r="F92" s="18"/>
      <c r="G92" s="18"/>
      <c r="H92" s="18"/>
      <c r="I92" s="18"/>
      <c r="J92" s="18"/>
      <c r="K92" s="18"/>
      <c r="L92" s="18"/>
      <c r="M92" s="18"/>
      <c r="N92" s="18"/>
      <c r="O92" s="18"/>
      <c r="P92" s="3"/>
      <c r="Q92" s="18"/>
      <c r="R92" s="18"/>
      <c r="S92" s="18"/>
      <c r="T92" s="3"/>
      <c r="U92" s="3"/>
      <c r="V92" s="3"/>
    </row>
    <row r="93" spans="1:22" x14ac:dyDescent="0.25">
      <c r="A93" s="219"/>
      <c r="B93" s="3"/>
      <c r="C93" s="18"/>
      <c r="D93" s="18"/>
      <c r="E93" s="18"/>
      <c r="F93" s="18"/>
      <c r="G93" s="18"/>
      <c r="H93" s="18"/>
      <c r="I93" s="18"/>
      <c r="J93" s="18"/>
      <c r="K93" s="18"/>
      <c r="L93" s="18"/>
      <c r="M93" s="18"/>
      <c r="N93" s="18"/>
      <c r="O93" s="18"/>
      <c r="P93" s="3"/>
      <c r="Q93" s="18"/>
      <c r="R93" s="18"/>
      <c r="S93" s="18"/>
      <c r="T93" s="3"/>
      <c r="U93" s="3"/>
      <c r="V93" s="3"/>
    </row>
    <row r="94" spans="1:22" x14ac:dyDescent="0.25">
      <c r="A94" s="219"/>
      <c r="B94" s="3"/>
      <c r="C94" s="18"/>
      <c r="D94" s="18"/>
      <c r="E94" s="18"/>
      <c r="F94" s="18"/>
      <c r="G94" s="18"/>
      <c r="H94" s="18"/>
      <c r="I94" s="18"/>
      <c r="J94" s="18"/>
      <c r="K94" s="18"/>
      <c r="L94" s="18"/>
      <c r="M94" s="18"/>
      <c r="N94" s="18"/>
      <c r="O94" s="18"/>
      <c r="P94" s="3"/>
      <c r="Q94" s="18"/>
      <c r="R94" s="18"/>
      <c r="S94" s="18"/>
      <c r="T94" s="3"/>
      <c r="U94" s="3"/>
      <c r="V94" s="3"/>
    </row>
    <row r="95" spans="1:22" x14ac:dyDescent="0.25">
      <c r="A95" s="219"/>
      <c r="B95" s="3"/>
      <c r="C95" s="18"/>
      <c r="D95" s="18"/>
      <c r="E95" s="18"/>
      <c r="F95" s="18"/>
      <c r="G95" s="18"/>
      <c r="H95" s="18"/>
      <c r="I95" s="18"/>
      <c r="J95" s="18"/>
      <c r="K95" s="18"/>
      <c r="L95" s="18"/>
      <c r="M95" s="18"/>
      <c r="N95" s="18"/>
      <c r="O95" s="18"/>
      <c r="P95" s="3"/>
      <c r="Q95" s="18"/>
      <c r="R95" s="18"/>
      <c r="S95" s="18"/>
      <c r="T95" s="3"/>
      <c r="U95" s="3"/>
      <c r="V95" s="3"/>
    </row>
    <row r="96" spans="1:22" x14ac:dyDescent="0.25">
      <c r="A96" s="219"/>
      <c r="B96" s="3"/>
      <c r="C96" s="18"/>
      <c r="D96" s="18"/>
      <c r="E96" s="18"/>
      <c r="F96" s="18"/>
      <c r="G96" s="18"/>
      <c r="H96" s="18"/>
      <c r="I96" s="18"/>
      <c r="J96" s="18"/>
      <c r="K96" s="18"/>
      <c r="L96" s="18"/>
      <c r="M96" s="18"/>
      <c r="N96" s="18"/>
      <c r="O96" s="18"/>
      <c r="P96" s="3"/>
      <c r="Q96" s="18"/>
      <c r="R96" s="18"/>
      <c r="S96" s="18"/>
      <c r="T96" s="3"/>
      <c r="U96" s="3"/>
      <c r="V96" s="3"/>
    </row>
    <row r="97" spans="1:22" x14ac:dyDescent="0.25">
      <c r="A97" s="219"/>
      <c r="B97" s="3"/>
      <c r="C97" s="18"/>
      <c r="D97" s="18"/>
      <c r="E97" s="18"/>
      <c r="F97" s="18"/>
      <c r="G97" s="18"/>
      <c r="H97" s="18"/>
      <c r="I97" s="18"/>
      <c r="J97" s="18"/>
      <c r="K97" s="18"/>
      <c r="L97" s="18"/>
      <c r="M97" s="18"/>
      <c r="N97" s="18"/>
      <c r="O97" s="18"/>
      <c r="P97" s="3"/>
      <c r="Q97" s="18"/>
      <c r="R97" s="18"/>
      <c r="S97" s="18"/>
      <c r="T97" s="3"/>
      <c r="U97" s="3"/>
      <c r="V97" s="3"/>
    </row>
    <row r="98" spans="1:22" x14ac:dyDescent="0.25">
      <c r="A98" s="219"/>
      <c r="B98" s="3"/>
      <c r="C98" s="18"/>
      <c r="D98" s="18"/>
      <c r="E98" s="18"/>
      <c r="F98" s="18"/>
      <c r="G98" s="18"/>
      <c r="H98" s="18"/>
      <c r="I98" s="18"/>
      <c r="J98" s="18"/>
      <c r="K98" s="18"/>
      <c r="L98" s="18"/>
      <c r="M98" s="18"/>
      <c r="N98" s="18"/>
      <c r="O98" s="18"/>
      <c r="P98" s="3"/>
      <c r="Q98" s="18"/>
      <c r="R98" s="18"/>
      <c r="S98" s="18"/>
      <c r="T98" s="3"/>
      <c r="U98" s="3"/>
      <c r="V98" s="3"/>
    </row>
    <row r="99" spans="1:22" x14ac:dyDescent="0.25">
      <c r="A99" s="219"/>
      <c r="B99" s="3"/>
      <c r="C99" s="18"/>
      <c r="D99" s="18"/>
      <c r="E99" s="18"/>
      <c r="F99" s="18"/>
      <c r="G99" s="18"/>
      <c r="H99" s="18"/>
      <c r="I99" s="18"/>
      <c r="J99" s="18"/>
      <c r="K99" s="18"/>
      <c r="L99" s="18"/>
      <c r="M99" s="18"/>
      <c r="N99" s="18"/>
      <c r="O99" s="18"/>
      <c r="P99" s="3"/>
      <c r="Q99" s="18"/>
      <c r="R99" s="18"/>
      <c r="S99" s="18"/>
      <c r="T99" s="3"/>
      <c r="U99" s="3"/>
      <c r="V99" s="3"/>
    </row>
    <row r="100" spans="1:22" x14ac:dyDescent="0.25">
      <c r="A100" s="219"/>
      <c r="B100" s="3"/>
      <c r="C100" s="18"/>
      <c r="D100" s="18"/>
      <c r="E100" s="18"/>
      <c r="F100" s="18"/>
      <c r="G100" s="18"/>
      <c r="H100" s="18"/>
      <c r="I100" s="18"/>
      <c r="J100" s="18"/>
      <c r="K100" s="18"/>
      <c r="L100" s="18"/>
      <c r="M100" s="18"/>
      <c r="N100" s="18"/>
      <c r="O100" s="18"/>
      <c r="P100" s="3"/>
      <c r="Q100" s="18"/>
      <c r="R100" s="18"/>
      <c r="S100" s="18"/>
      <c r="T100" s="3"/>
      <c r="U100" s="3"/>
      <c r="V100" s="3"/>
    </row>
    <row r="101" spans="1:22" x14ac:dyDescent="0.25">
      <c r="A101" s="219"/>
      <c r="B101" s="3"/>
      <c r="C101" s="18"/>
      <c r="D101" s="18"/>
      <c r="E101" s="18"/>
      <c r="F101" s="18"/>
      <c r="G101" s="18"/>
      <c r="H101" s="18"/>
      <c r="I101" s="18"/>
      <c r="J101" s="18"/>
      <c r="K101" s="18"/>
      <c r="L101" s="18"/>
      <c r="M101" s="18"/>
      <c r="N101" s="18"/>
      <c r="O101" s="18"/>
      <c r="P101" s="3"/>
      <c r="Q101" s="18"/>
      <c r="R101" s="18"/>
      <c r="S101" s="18"/>
      <c r="T101" s="3"/>
      <c r="U101" s="3"/>
      <c r="V101" s="3"/>
    </row>
    <row r="102" spans="1:22" x14ac:dyDescent="0.25">
      <c r="A102" s="219"/>
      <c r="B102" s="3"/>
      <c r="C102" s="18"/>
      <c r="D102" s="18"/>
      <c r="E102" s="18"/>
      <c r="F102" s="18"/>
      <c r="G102" s="18"/>
      <c r="H102" s="18"/>
      <c r="I102" s="18"/>
      <c r="J102" s="18"/>
      <c r="K102" s="18"/>
      <c r="L102" s="18"/>
      <c r="M102" s="18"/>
      <c r="N102" s="18"/>
      <c r="O102" s="18"/>
      <c r="P102" s="3"/>
      <c r="Q102" s="18"/>
      <c r="R102" s="18"/>
      <c r="S102" s="18"/>
      <c r="T102" s="3"/>
      <c r="U102" s="3"/>
      <c r="V102" s="3"/>
    </row>
    <row r="103" spans="1:22" x14ac:dyDescent="0.25">
      <c r="A103" s="219"/>
      <c r="B103" s="3"/>
      <c r="C103" s="18"/>
      <c r="D103" s="18"/>
      <c r="E103" s="18"/>
      <c r="F103" s="18"/>
      <c r="G103" s="18"/>
      <c r="H103" s="18"/>
      <c r="I103" s="18"/>
      <c r="J103" s="18"/>
      <c r="K103" s="18"/>
      <c r="L103" s="18"/>
      <c r="M103" s="18"/>
      <c r="N103" s="18"/>
      <c r="O103" s="18"/>
      <c r="P103" s="3"/>
      <c r="Q103" s="18"/>
      <c r="R103" s="18"/>
      <c r="S103" s="18"/>
      <c r="T103" s="3"/>
      <c r="U103" s="3"/>
      <c r="V103" s="3"/>
    </row>
    <row r="104" spans="1:22" x14ac:dyDescent="0.25">
      <c r="A104" s="219"/>
      <c r="B104" s="3"/>
      <c r="C104" s="18"/>
      <c r="D104" s="18"/>
      <c r="E104" s="18"/>
      <c r="F104" s="18"/>
      <c r="G104" s="18"/>
      <c r="H104" s="18"/>
      <c r="I104" s="18"/>
      <c r="J104" s="18"/>
      <c r="K104" s="18"/>
      <c r="L104" s="18"/>
      <c r="M104" s="18"/>
      <c r="N104" s="18"/>
      <c r="O104" s="18"/>
      <c r="P104" s="3"/>
      <c r="Q104" s="18"/>
      <c r="R104" s="18"/>
      <c r="S104" s="18"/>
      <c r="T104" s="3"/>
      <c r="U104" s="3"/>
      <c r="V104" s="3"/>
    </row>
    <row r="105" spans="1:22" x14ac:dyDescent="0.25">
      <c r="A105" s="219"/>
      <c r="B105" s="3"/>
      <c r="C105" s="18"/>
      <c r="D105" s="18"/>
      <c r="E105" s="18"/>
      <c r="F105" s="18"/>
      <c r="G105" s="18"/>
      <c r="H105" s="18"/>
      <c r="I105" s="18"/>
      <c r="J105" s="18"/>
      <c r="K105" s="18"/>
      <c r="L105" s="18"/>
      <c r="M105" s="18"/>
      <c r="N105" s="18"/>
      <c r="O105" s="18"/>
      <c r="P105" s="3"/>
      <c r="Q105" s="18"/>
      <c r="R105" s="18"/>
      <c r="S105" s="18"/>
      <c r="T105" s="3"/>
      <c r="U105" s="3"/>
      <c r="V105" s="3"/>
    </row>
    <row r="106" spans="1:22" x14ac:dyDescent="0.25">
      <c r="A106" s="219"/>
      <c r="B106" s="3"/>
      <c r="C106" s="18"/>
      <c r="D106" s="18"/>
      <c r="E106" s="18"/>
      <c r="F106" s="18"/>
      <c r="G106" s="18"/>
      <c r="H106" s="18"/>
      <c r="I106" s="18"/>
      <c r="J106" s="18"/>
      <c r="K106" s="18"/>
      <c r="L106" s="18"/>
      <c r="M106" s="18"/>
      <c r="N106" s="18"/>
      <c r="O106" s="18"/>
      <c r="P106" s="3"/>
      <c r="Q106" s="18"/>
      <c r="R106" s="18"/>
      <c r="S106" s="18"/>
      <c r="T106" s="3"/>
      <c r="U106" s="3"/>
      <c r="V106" s="3"/>
    </row>
    <row r="107" spans="1:22" x14ac:dyDescent="0.25">
      <c r="A107" s="219"/>
      <c r="B107" s="3"/>
      <c r="C107" s="18"/>
      <c r="D107" s="18"/>
      <c r="E107" s="18"/>
      <c r="F107" s="18"/>
      <c r="G107" s="18"/>
      <c r="H107" s="18"/>
      <c r="I107" s="18"/>
      <c r="J107" s="18"/>
      <c r="K107" s="18"/>
      <c r="L107" s="18"/>
      <c r="M107" s="18"/>
      <c r="N107" s="18"/>
      <c r="O107" s="18"/>
      <c r="P107" s="3"/>
      <c r="Q107" s="18"/>
      <c r="R107" s="18"/>
      <c r="S107" s="18"/>
      <c r="T107" s="3"/>
      <c r="U107" s="3"/>
      <c r="V107" s="3"/>
    </row>
    <row r="108" spans="1:22" x14ac:dyDescent="0.25">
      <c r="A108" s="219"/>
      <c r="B108" s="3"/>
      <c r="C108" s="18"/>
      <c r="D108" s="18"/>
      <c r="E108" s="18"/>
      <c r="F108" s="18"/>
      <c r="G108" s="18"/>
      <c r="H108" s="18"/>
      <c r="I108" s="18"/>
      <c r="J108" s="18"/>
      <c r="K108" s="18"/>
      <c r="L108" s="18"/>
      <c r="M108" s="18"/>
      <c r="N108" s="18"/>
      <c r="O108" s="18"/>
      <c r="P108" s="3"/>
      <c r="Q108" s="18"/>
      <c r="R108" s="18"/>
      <c r="S108" s="18"/>
      <c r="T108" s="3"/>
      <c r="U108" s="3"/>
      <c r="V108" s="3"/>
    </row>
    <row r="109" spans="1:22" x14ac:dyDescent="0.25">
      <c r="A109" s="219"/>
      <c r="B109" s="3"/>
      <c r="C109" s="18"/>
      <c r="D109" s="18"/>
      <c r="E109" s="18"/>
      <c r="F109" s="18"/>
      <c r="G109" s="18"/>
      <c r="H109" s="18"/>
      <c r="I109" s="18"/>
      <c r="J109" s="18"/>
      <c r="K109" s="18"/>
      <c r="L109" s="18"/>
      <c r="M109" s="18"/>
      <c r="N109" s="18"/>
      <c r="O109" s="18"/>
      <c r="P109" s="3"/>
      <c r="Q109" s="18"/>
      <c r="R109" s="18"/>
      <c r="S109" s="18"/>
      <c r="T109" s="3"/>
      <c r="U109" s="3"/>
      <c r="V109" s="3"/>
    </row>
    <row r="110" spans="1:22" x14ac:dyDescent="0.25">
      <c r="A110" s="219"/>
      <c r="B110" s="3"/>
      <c r="C110" s="18"/>
      <c r="D110" s="18"/>
      <c r="E110" s="18"/>
      <c r="F110" s="18"/>
      <c r="G110" s="18"/>
      <c r="H110" s="18"/>
      <c r="I110" s="18"/>
      <c r="J110" s="18"/>
      <c r="K110" s="18"/>
      <c r="L110" s="18"/>
      <c r="M110" s="18"/>
      <c r="N110" s="18"/>
      <c r="O110" s="18"/>
      <c r="P110" s="3"/>
      <c r="Q110" s="18"/>
      <c r="R110" s="18"/>
      <c r="S110" s="18"/>
      <c r="T110" s="3"/>
      <c r="U110" s="3"/>
      <c r="V110" s="3"/>
    </row>
    <row r="111" spans="1:22" x14ac:dyDescent="0.25">
      <c r="A111" s="219"/>
      <c r="B111" s="3"/>
      <c r="C111" s="18"/>
      <c r="D111" s="18"/>
      <c r="E111" s="18"/>
      <c r="F111" s="18"/>
      <c r="G111" s="18"/>
      <c r="H111" s="18"/>
      <c r="I111" s="18"/>
      <c r="J111" s="18"/>
      <c r="K111" s="18"/>
      <c r="L111" s="18"/>
      <c r="M111" s="18"/>
      <c r="N111" s="18"/>
      <c r="O111" s="18"/>
      <c r="P111" s="3"/>
      <c r="Q111" s="18"/>
      <c r="R111" s="18"/>
      <c r="S111" s="18"/>
      <c r="T111" s="3"/>
      <c r="U111" s="3"/>
      <c r="V111" s="3"/>
    </row>
    <row r="112" spans="1:22" x14ac:dyDescent="0.25">
      <c r="A112" s="219"/>
      <c r="B112" s="3"/>
      <c r="C112" s="18"/>
      <c r="D112" s="18"/>
      <c r="E112" s="18"/>
      <c r="F112" s="18"/>
      <c r="G112" s="18"/>
      <c r="H112" s="18"/>
      <c r="I112" s="18"/>
      <c r="J112" s="18"/>
      <c r="K112" s="18"/>
      <c r="L112" s="18"/>
      <c r="M112" s="18"/>
      <c r="N112" s="18"/>
      <c r="O112" s="18"/>
      <c r="P112" s="3"/>
      <c r="Q112" s="18"/>
      <c r="R112" s="18"/>
      <c r="S112" s="18"/>
      <c r="T112" s="3"/>
      <c r="U112" s="3"/>
      <c r="V112" s="3"/>
    </row>
    <row r="113" spans="1:22" x14ac:dyDescent="0.25">
      <c r="A113" s="219"/>
      <c r="B113" s="3"/>
      <c r="C113" s="18"/>
      <c r="D113" s="18"/>
      <c r="E113" s="18"/>
      <c r="F113" s="18"/>
      <c r="G113" s="18"/>
      <c r="H113" s="18"/>
      <c r="I113" s="18"/>
      <c r="J113" s="18"/>
      <c r="K113" s="18"/>
      <c r="L113" s="18"/>
      <c r="M113" s="18"/>
      <c r="N113" s="18"/>
      <c r="O113" s="18"/>
      <c r="P113" s="3"/>
      <c r="Q113" s="18"/>
      <c r="R113" s="18"/>
      <c r="S113" s="18"/>
      <c r="T113" s="3"/>
      <c r="U113" s="3"/>
      <c r="V113" s="3"/>
    </row>
    <row r="114" spans="1:22" x14ac:dyDescent="0.25">
      <c r="A114" s="219"/>
      <c r="B114" s="3"/>
      <c r="C114" s="18"/>
      <c r="D114" s="18"/>
      <c r="E114" s="18"/>
      <c r="F114" s="18"/>
      <c r="G114" s="18"/>
      <c r="H114" s="18"/>
      <c r="I114" s="18"/>
      <c r="J114" s="18"/>
      <c r="K114" s="18"/>
      <c r="L114" s="18"/>
      <c r="M114" s="18"/>
      <c r="N114" s="18"/>
      <c r="O114" s="18"/>
      <c r="P114" s="3"/>
      <c r="Q114" s="18"/>
      <c r="R114" s="18"/>
      <c r="S114" s="18"/>
      <c r="T114" s="3"/>
      <c r="U114" s="3"/>
      <c r="V114" s="3"/>
    </row>
    <row r="115" spans="1:22" x14ac:dyDescent="0.25">
      <c r="A115" s="219"/>
      <c r="B115" s="3"/>
      <c r="C115" s="18"/>
      <c r="D115" s="18"/>
      <c r="E115" s="18"/>
      <c r="F115" s="18"/>
      <c r="G115" s="18"/>
      <c r="H115" s="18"/>
      <c r="I115" s="18"/>
      <c r="J115" s="18"/>
      <c r="K115" s="18"/>
      <c r="L115" s="18"/>
      <c r="M115" s="18"/>
      <c r="N115" s="18"/>
      <c r="O115" s="18"/>
      <c r="P115" s="3"/>
      <c r="Q115" s="18"/>
      <c r="R115" s="18"/>
      <c r="S115" s="18"/>
      <c r="T115" s="3"/>
      <c r="U115" s="3"/>
      <c r="V115" s="3"/>
    </row>
    <row r="116" spans="1:22" x14ac:dyDescent="0.25">
      <c r="A116" s="219"/>
      <c r="B116" s="3"/>
      <c r="C116" s="18"/>
      <c r="D116" s="18"/>
      <c r="E116" s="18"/>
      <c r="F116" s="18"/>
      <c r="G116" s="18"/>
      <c r="H116" s="18"/>
      <c r="I116" s="18"/>
      <c r="J116" s="18"/>
      <c r="K116" s="18"/>
      <c r="L116" s="18"/>
      <c r="M116" s="18"/>
      <c r="N116" s="18"/>
      <c r="O116" s="18"/>
      <c r="P116" s="3"/>
      <c r="Q116" s="18"/>
      <c r="R116" s="18"/>
      <c r="S116" s="18"/>
      <c r="T116" s="3"/>
      <c r="U116" s="3"/>
      <c r="V116" s="3"/>
    </row>
    <row r="117" spans="1:22" x14ac:dyDescent="0.25">
      <c r="A117" s="219"/>
      <c r="B117" s="3"/>
      <c r="C117" s="18"/>
      <c r="D117" s="18"/>
      <c r="E117" s="18"/>
      <c r="F117" s="18"/>
      <c r="G117" s="18"/>
      <c r="H117" s="18"/>
      <c r="I117" s="18"/>
      <c r="J117" s="18"/>
      <c r="K117" s="18"/>
      <c r="L117" s="18"/>
      <c r="M117" s="18"/>
      <c r="N117" s="18"/>
      <c r="O117" s="18"/>
      <c r="P117" s="3"/>
      <c r="Q117" s="18"/>
      <c r="R117" s="18"/>
      <c r="S117" s="18"/>
      <c r="T117" s="3"/>
      <c r="U117" s="3"/>
      <c r="V117" s="3"/>
    </row>
    <row r="118" spans="1:22" x14ac:dyDescent="0.25">
      <c r="A118" s="219"/>
      <c r="B118" s="3"/>
      <c r="C118" s="18"/>
      <c r="D118" s="18"/>
      <c r="E118" s="18"/>
      <c r="F118" s="18"/>
      <c r="G118" s="18"/>
      <c r="H118" s="18"/>
      <c r="I118" s="18"/>
      <c r="J118" s="18"/>
      <c r="K118" s="18"/>
      <c r="L118" s="18"/>
      <c r="M118" s="18"/>
      <c r="N118" s="18"/>
      <c r="O118" s="18"/>
      <c r="P118" s="3"/>
      <c r="Q118" s="18"/>
      <c r="R118" s="18"/>
      <c r="S118" s="18"/>
      <c r="T118" s="3"/>
      <c r="U118" s="3"/>
      <c r="V118" s="3"/>
    </row>
    <row r="119" spans="1:22" x14ac:dyDescent="0.25">
      <c r="A119" s="219"/>
      <c r="B119" s="3"/>
      <c r="C119" s="18"/>
      <c r="D119" s="18"/>
      <c r="E119" s="18"/>
      <c r="F119" s="18"/>
      <c r="G119" s="18"/>
      <c r="H119" s="18"/>
      <c r="I119" s="18"/>
      <c r="J119" s="18"/>
      <c r="K119" s="18"/>
      <c r="L119" s="18"/>
      <c r="M119" s="18"/>
      <c r="N119" s="18"/>
      <c r="O119" s="18"/>
      <c r="P119" s="3"/>
      <c r="Q119" s="18"/>
      <c r="R119" s="18"/>
      <c r="S119" s="18"/>
      <c r="T119" s="3"/>
      <c r="U119" s="3"/>
      <c r="V119" s="3"/>
    </row>
    <row r="120" spans="1:22" x14ac:dyDescent="0.25">
      <c r="A120" s="219"/>
      <c r="B120" s="3"/>
      <c r="C120" s="18"/>
      <c r="D120" s="18"/>
      <c r="E120" s="18"/>
      <c r="F120" s="18"/>
      <c r="G120" s="18"/>
      <c r="H120" s="18"/>
      <c r="I120" s="18"/>
      <c r="J120" s="18"/>
      <c r="K120" s="18"/>
      <c r="L120" s="18"/>
      <c r="M120" s="18"/>
      <c r="N120" s="18"/>
      <c r="O120" s="18"/>
      <c r="P120" s="3"/>
      <c r="Q120" s="18"/>
      <c r="R120" s="18"/>
      <c r="S120" s="18"/>
      <c r="T120" s="3"/>
      <c r="U120" s="3"/>
      <c r="V120" s="3"/>
    </row>
    <row r="121" spans="1:22" x14ac:dyDescent="0.25">
      <c r="A121" s="219"/>
      <c r="B121" s="3"/>
      <c r="C121" s="18"/>
      <c r="D121" s="18"/>
      <c r="E121" s="18"/>
      <c r="F121" s="18"/>
      <c r="G121" s="18"/>
      <c r="H121" s="18"/>
      <c r="I121" s="18"/>
      <c r="J121" s="18"/>
      <c r="K121" s="18"/>
      <c r="L121" s="18"/>
      <c r="M121" s="18"/>
      <c r="N121" s="18"/>
      <c r="O121" s="18"/>
      <c r="P121" s="3"/>
      <c r="Q121" s="18"/>
      <c r="R121" s="18"/>
      <c r="S121" s="18"/>
      <c r="T121" s="3"/>
      <c r="U121" s="3"/>
      <c r="V121" s="3"/>
    </row>
    <row r="122" spans="1:22" x14ac:dyDescent="0.25">
      <c r="A122" s="219"/>
      <c r="B122" s="3"/>
      <c r="C122" s="18"/>
      <c r="D122" s="18"/>
      <c r="E122" s="18"/>
      <c r="F122" s="18"/>
      <c r="G122" s="18"/>
      <c r="H122" s="18"/>
      <c r="I122" s="18"/>
      <c r="J122" s="18"/>
      <c r="K122" s="18"/>
      <c r="L122" s="18"/>
      <c r="M122" s="18"/>
      <c r="N122" s="18"/>
      <c r="O122" s="18"/>
      <c r="P122" s="3"/>
      <c r="Q122" s="18"/>
      <c r="R122" s="18"/>
      <c r="S122" s="18"/>
      <c r="T122" s="3"/>
      <c r="U122" s="3"/>
      <c r="V122" s="3"/>
    </row>
    <row r="123" spans="1:22" x14ac:dyDescent="0.25">
      <c r="A123" s="219"/>
      <c r="B123" s="3"/>
      <c r="C123" s="18"/>
      <c r="D123" s="18"/>
      <c r="E123" s="18"/>
      <c r="F123" s="18"/>
      <c r="G123" s="18"/>
      <c r="H123" s="18"/>
      <c r="I123" s="18"/>
      <c r="J123" s="18"/>
      <c r="K123" s="18"/>
      <c r="L123" s="18"/>
      <c r="M123" s="18"/>
      <c r="N123" s="18"/>
      <c r="O123" s="18"/>
      <c r="P123" s="3"/>
      <c r="Q123" s="18"/>
      <c r="R123" s="18"/>
      <c r="S123" s="18"/>
      <c r="T123" s="3"/>
      <c r="U123" s="3"/>
      <c r="V123" s="3"/>
    </row>
    <row r="124" spans="1:22" x14ac:dyDescent="0.25">
      <c r="C124" s="99"/>
      <c r="D124" s="99"/>
      <c r="E124" s="99"/>
      <c r="F124" s="99"/>
      <c r="G124" s="99"/>
      <c r="H124" s="99"/>
      <c r="I124" s="99"/>
      <c r="J124" s="99"/>
      <c r="K124" s="99"/>
      <c r="L124" s="99"/>
      <c r="M124" s="99"/>
      <c r="N124" s="99"/>
      <c r="O124" s="99"/>
    </row>
    <row r="125" spans="1:22" x14ac:dyDescent="0.25">
      <c r="C125" s="99"/>
      <c r="D125" s="99"/>
      <c r="E125" s="99"/>
      <c r="F125" s="99"/>
      <c r="G125" s="99"/>
      <c r="H125" s="99"/>
      <c r="I125" s="99"/>
      <c r="J125" s="99"/>
      <c r="K125" s="99"/>
      <c r="L125" s="99"/>
      <c r="M125" s="99"/>
      <c r="N125" s="99"/>
      <c r="O125" s="99"/>
    </row>
    <row r="126" spans="1:22" x14ac:dyDescent="0.25">
      <c r="C126" s="99"/>
      <c r="D126" s="99"/>
      <c r="E126" s="99"/>
      <c r="F126" s="99"/>
      <c r="G126" s="99"/>
      <c r="H126" s="99"/>
      <c r="I126" s="99"/>
      <c r="J126" s="99"/>
      <c r="K126" s="99"/>
      <c r="L126" s="99"/>
      <c r="M126" s="99"/>
      <c r="N126" s="99"/>
      <c r="O126" s="99"/>
    </row>
    <row r="127" spans="1:22" x14ac:dyDescent="0.25">
      <c r="C127" s="99"/>
      <c r="D127" s="99"/>
      <c r="E127" s="99"/>
      <c r="F127" s="99"/>
      <c r="G127" s="99"/>
      <c r="H127" s="99"/>
      <c r="I127" s="99"/>
      <c r="J127" s="99"/>
      <c r="K127" s="99"/>
      <c r="L127" s="99"/>
      <c r="M127" s="99"/>
      <c r="N127" s="99"/>
      <c r="O127" s="99"/>
    </row>
    <row r="128" spans="1:22" x14ac:dyDescent="0.25">
      <c r="C128" s="99"/>
      <c r="D128" s="99"/>
      <c r="E128" s="99"/>
      <c r="F128" s="99"/>
      <c r="G128" s="99"/>
      <c r="H128" s="99"/>
      <c r="I128" s="99"/>
      <c r="J128" s="99"/>
      <c r="K128" s="99"/>
      <c r="L128" s="99"/>
      <c r="M128" s="99"/>
      <c r="N128" s="99"/>
      <c r="O128" s="99"/>
    </row>
    <row r="129" spans="3:3" x14ac:dyDescent="0.25">
      <c r="C129" s="99"/>
    </row>
    <row r="130" spans="3:3" x14ac:dyDescent="0.25">
      <c r="C130" s="99"/>
    </row>
    <row r="131" spans="3:3" x14ac:dyDescent="0.25">
      <c r="C131" s="99"/>
    </row>
    <row r="132" spans="3:3" x14ac:dyDescent="0.25">
      <c r="C132" s="99"/>
    </row>
    <row r="133" spans="3:3" x14ac:dyDescent="0.25">
      <c r="C133" s="99"/>
    </row>
    <row r="134" spans="3:3" x14ac:dyDescent="0.25">
      <c r="C134" s="99"/>
    </row>
    <row r="135" spans="3:3" x14ac:dyDescent="0.25">
      <c r="C135" s="99"/>
    </row>
    <row r="136" spans="3:3" x14ac:dyDescent="0.25">
      <c r="C136" s="99"/>
    </row>
    <row r="137" spans="3:3" x14ac:dyDescent="0.25">
      <c r="C137" s="99"/>
    </row>
    <row r="138" spans="3:3" x14ac:dyDescent="0.25">
      <c r="C138" s="99"/>
    </row>
    <row r="139" spans="3:3" x14ac:dyDescent="0.25">
      <c r="C139" s="99"/>
    </row>
    <row r="140" spans="3:3" x14ac:dyDescent="0.25">
      <c r="C140" s="99"/>
    </row>
    <row r="141" spans="3:3" x14ac:dyDescent="0.25">
      <c r="C141" s="99"/>
    </row>
    <row r="142" spans="3:3" x14ac:dyDescent="0.25">
      <c r="C142" s="99"/>
    </row>
    <row r="143" spans="3:3" x14ac:dyDescent="0.25">
      <c r="C143" s="99"/>
    </row>
    <row r="144" spans="3:3" x14ac:dyDescent="0.25">
      <c r="C144" s="99"/>
    </row>
    <row r="145" spans="3:3" x14ac:dyDescent="0.25">
      <c r="C145" s="99"/>
    </row>
    <row r="146" spans="3:3" x14ac:dyDescent="0.25">
      <c r="C146" s="99"/>
    </row>
    <row r="147" spans="3:3" x14ac:dyDescent="0.25">
      <c r="C147" s="99"/>
    </row>
    <row r="148" spans="3:3" x14ac:dyDescent="0.25">
      <c r="C148" s="99"/>
    </row>
    <row r="149" spans="3:3" x14ac:dyDescent="0.25">
      <c r="C149" s="99"/>
    </row>
    <row r="150" spans="3:3" x14ac:dyDescent="0.25">
      <c r="C150" s="99"/>
    </row>
    <row r="151" spans="3:3" x14ac:dyDescent="0.25">
      <c r="C151" s="99"/>
    </row>
    <row r="152" spans="3:3" x14ac:dyDescent="0.25">
      <c r="C152" s="99"/>
    </row>
    <row r="153" spans="3:3" x14ac:dyDescent="0.25">
      <c r="C153" s="99"/>
    </row>
    <row r="154" spans="3:3" x14ac:dyDescent="0.25">
      <c r="C154" s="99"/>
    </row>
    <row r="155" spans="3:3" x14ac:dyDescent="0.25">
      <c r="C155" s="99"/>
    </row>
    <row r="156" spans="3:3" x14ac:dyDescent="0.25">
      <c r="C156" s="99"/>
    </row>
    <row r="157" spans="3:3" x14ac:dyDescent="0.25">
      <c r="C157" s="99"/>
    </row>
    <row r="158" spans="3:3" x14ac:dyDescent="0.25">
      <c r="C158" s="99"/>
    </row>
    <row r="159" spans="3:3" x14ac:dyDescent="0.25">
      <c r="C159" s="99"/>
    </row>
    <row r="160" spans="3:3" x14ac:dyDescent="0.25">
      <c r="C160" s="99"/>
    </row>
    <row r="161" spans="3:3" x14ac:dyDescent="0.25">
      <c r="C161" s="99"/>
    </row>
    <row r="162" spans="3:3" x14ac:dyDescent="0.25">
      <c r="C162" s="99"/>
    </row>
    <row r="163" spans="3:3" x14ac:dyDescent="0.25">
      <c r="C163" s="99"/>
    </row>
    <row r="164" spans="3:3" x14ac:dyDescent="0.25">
      <c r="C164" s="99"/>
    </row>
    <row r="165" spans="3:3" x14ac:dyDescent="0.25">
      <c r="C165" s="99"/>
    </row>
    <row r="166" spans="3:3" x14ac:dyDescent="0.25">
      <c r="C166" s="99"/>
    </row>
    <row r="167" spans="3:3" x14ac:dyDescent="0.25">
      <c r="C167" s="99"/>
    </row>
    <row r="168" spans="3:3" x14ac:dyDescent="0.25">
      <c r="C168" s="99"/>
    </row>
    <row r="169" spans="3:3" x14ac:dyDescent="0.25">
      <c r="C169" s="99"/>
    </row>
    <row r="170" spans="3:3" x14ac:dyDescent="0.25">
      <c r="C170" s="99"/>
    </row>
    <row r="171" spans="3:3" x14ac:dyDescent="0.25">
      <c r="C171" s="99"/>
    </row>
    <row r="172" spans="3:3" x14ac:dyDescent="0.25">
      <c r="C172" s="99"/>
    </row>
    <row r="173" spans="3:3" x14ac:dyDescent="0.25">
      <c r="C173" s="99"/>
    </row>
    <row r="174" spans="3:3" x14ac:dyDescent="0.25">
      <c r="C174" s="99"/>
    </row>
    <row r="175" spans="3:3" x14ac:dyDescent="0.25">
      <c r="C175" s="99"/>
    </row>
    <row r="176" spans="3:3" x14ac:dyDescent="0.25">
      <c r="C176" s="99"/>
    </row>
    <row r="177" spans="3:3" x14ac:dyDescent="0.25">
      <c r="C177" s="99"/>
    </row>
    <row r="178" spans="3:3" x14ac:dyDescent="0.25">
      <c r="C178" s="99"/>
    </row>
  </sheetData>
  <phoneticPr fontId="0" type="noConversion"/>
  <hyperlinks>
    <hyperlink ref="A1" location="'Working Budget with funding det'!A1" display="Main " xr:uid="{00000000-0004-0000-2600-000000000000}"/>
    <hyperlink ref="B1" location="'Table of Contents'!A1" display="TOC" xr:uid="{00000000-0004-0000-2600-000001000000}"/>
  </hyperlinks>
  <pageMargins left="0.75" right="0.75" top="1" bottom="1" header="0.5" footer="0.5"/>
  <pageSetup scale="92" orientation="landscape" horizontalDpi="300" verticalDpi="300" r:id="rId1"/>
  <headerFooter alignWithMargins="0">
    <oddFooter>&amp;L&amp;D     &amp;T&amp;C&amp;F&amp;R&amp;A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pageSetUpPr fitToPage="1"/>
  </sheetPr>
  <dimension ref="A1:T178"/>
  <sheetViews>
    <sheetView tabSelected="1" zoomScaleNormal="100" workbookViewId="0">
      <selection activeCell="P15" sqref="P15"/>
    </sheetView>
  </sheetViews>
  <sheetFormatPr defaultRowHeight="13.2" x14ac:dyDescent="0.25"/>
  <cols>
    <col min="1" max="1" width="8.77734375" style="228"/>
    <col min="2" max="2" width="36.6640625" customWidth="1"/>
    <col min="3" max="3" width="14.44140625" style="1" hidden="1" customWidth="1"/>
    <col min="4" max="12" width="14.44140625" style="67" hidden="1" customWidth="1"/>
    <col min="13" max="15" width="14.44140625" style="67" customWidth="1"/>
    <col min="16" max="16" width="14.44140625" customWidth="1"/>
    <col min="17" max="20" width="14.44140625" style="1" customWidth="1"/>
  </cols>
  <sheetData>
    <row r="1" spans="1:20" x14ac:dyDescent="0.25">
      <c r="A1" s="217" t="s">
        <v>40</v>
      </c>
      <c r="B1" s="132" t="s">
        <v>2</v>
      </c>
      <c r="D1" s="99"/>
      <c r="E1" s="99"/>
      <c r="F1" s="99"/>
      <c r="G1" s="99"/>
      <c r="H1" s="99"/>
      <c r="I1" s="99"/>
      <c r="J1" s="99"/>
      <c r="K1" s="99"/>
      <c r="L1" s="99"/>
      <c r="M1" s="99"/>
      <c r="N1" s="99"/>
      <c r="O1" s="99"/>
      <c r="S1"/>
      <c r="T1"/>
    </row>
    <row r="2" spans="1:20" ht="13.8" x14ac:dyDescent="0.25">
      <c r="A2" s="218" t="s">
        <v>136</v>
      </c>
      <c r="B2" s="35"/>
      <c r="D2" s="99"/>
      <c r="E2" s="78"/>
      <c r="F2" s="99"/>
      <c r="G2" s="99"/>
      <c r="H2" s="99"/>
      <c r="I2" s="78" t="s">
        <v>22</v>
      </c>
      <c r="J2" s="78"/>
      <c r="K2" s="78"/>
      <c r="L2" s="78"/>
      <c r="M2" s="78"/>
      <c r="N2" s="78"/>
      <c r="O2" s="78"/>
      <c r="P2" s="40" t="s">
        <v>21</v>
      </c>
      <c r="R2" s="99"/>
      <c r="S2" s="36" t="s">
        <v>225</v>
      </c>
      <c r="T2" s="36"/>
    </row>
    <row r="3" spans="1:20" ht="13.8" thickBot="1" x14ac:dyDescent="0.3">
      <c r="A3" s="219"/>
      <c r="B3" s="3"/>
      <c r="C3" s="18"/>
      <c r="D3" s="18"/>
      <c r="E3" s="18"/>
      <c r="F3" s="18"/>
      <c r="G3" s="18"/>
      <c r="H3" s="18"/>
      <c r="I3" s="18"/>
      <c r="J3" s="18"/>
      <c r="K3" s="18"/>
      <c r="L3" s="18"/>
      <c r="M3" s="18"/>
      <c r="N3" s="18"/>
      <c r="O3" s="18"/>
      <c r="P3" s="3"/>
      <c r="Q3" s="18"/>
      <c r="R3" s="18"/>
      <c r="S3" s="3"/>
      <c r="T3" s="3"/>
    </row>
    <row r="4" spans="1:20" ht="13.8" thickTop="1" x14ac:dyDescent="0.25">
      <c r="A4" s="220"/>
      <c r="B4" s="187"/>
      <c r="C4" s="71" t="s">
        <v>13</v>
      </c>
      <c r="D4" s="106" t="s">
        <v>13</v>
      </c>
      <c r="E4" s="106" t="s">
        <v>13</v>
      </c>
      <c r="F4" s="106" t="s">
        <v>13</v>
      </c>
      <c r="G4" s="106" t="s">
        <v>13</v>
      </c>
      <c r="H4" s="65" t="s">
        <v>13</v>
      </c>
      <c r="I4" s="111" t="s">
        <v>13</v>
      </c>
      <c r="J4" s="111" t="s">
        <v>13</v>
      </c>
      <c r="K4" s="111" t="s">
        <v>12</v>
      </c>
      <c r="L4" s="111" t="s">
        <v>13</v>
      </c>
      <c r="M4" s="111" t="s">
        <v>12</v>
      </c>
      <c r="N4" s="111" t="s">
        <v>13</v>
      </c>
      <c r="O4" s="111" t="s">
        <v>12</v>
      </c>
      <c r="P4" s="65" t="s">
        <v>23</v>
      </c>
      <c r="Q4" s="52" t="s">
        <v>18</v>
      </c>
      <c r="R4" s="52" t="s">
        <v>18</v>
      </c>
      <c r="S4" s="4" t="s">
        <v>18</v>
      </c>
      <c r="T4" s="55"/>
    </row>
    <row r="5" spans="1:20" x14ac:dyDescent="0.25">
      <c r="A5" s="221"/>
      <c r="B5" s="96"/>
      <c r="C5" s="70"/>
      <c r="D5" s="54"/>
      <c r="E5" s="66"/>
      <c r="F5" s="54"/>
      <c r="G5" s="54"/>
      <c r="H5" s="66"/>
      <c r="I5" s="112"/>
      <c r="J5" s="112"/>
      <c r="K5" s="112"/>
      <c r="L5" s="112"/>
      <c r="M5" s="112"/>
      <c r="N5" s="112"/>
      <c r="O5" s="112"/>
      <c r="P5" s="66" t="s">
        <v>24</v>
      </c>
      <c r="Q5" s="55" t="s">
        <v>25</v>
      </c>
      <c r="R5" s="55" t="s">
        <v>226</v>
      </c>
      <c r="S5" s="93" t="s">
        <v>227</v>
      </c>
      <c r="T5" s="268"/>
    </row>
    <row r="6" spans="1:20" x14ac:dyDescent="0.25">
      <c r="A6" s="221"/>
      <c r="B6" s="96"/>
      <c r="C6" s="70"/>
      <c r="D6" s="70"/>
      <c r="E6" s="70"/>
      <c r="F6" s="70"/>
      <c r="G6" s="70"/>
      <c r="H6" s="70"/>
      <c r="I6" s="55"/>
      <c r="J6" s="55"/>
      <c r="K6" s="55"/>
      <c r="L6" s="55"/>
      <c r="M6" s="55"/>
      <c r="N6" s="55"/>
      <c r="O6" s="55"/>
      <c r="P6" s="70"/>
      <c r="Q6" s="55" t="s">
        <v>28</v>
      </c>
      <c r="R6" s="55"/>
      <c r="S6" s="37" t="s">
        <v>228</v>
      </c>
      <c r="T6" s="55"/>
    </row>
    <row r="7" spans="1:20" ht="13.8" thickBot="1" x14ac:dyDescent="0.3">
      <c r="A7" s="222"/>
      <c r="B7" s="51"/>
      <c r="C7" s="115" t="s">
        <v>4</v>
      </c>
      <c r="D7" s="115" t="s">
        <v>5</v>
      </c>
      <c r="E7" s="5" t="s">
        <v>6</v>
      </c>
      <c r="F7" s="5" t="s">
        <v>15</v>
      </c>
      <c r="G7" s="5" t="s">
        <v>16</v>
      </c>
      <c r="H7" s="5" t="s">
        <v>7</v>
      </c>
      <c r="I7" s="5" t="s">
        <v>8</v>
      </c>
      <c r="J7" s="5" t="s">
        <v>17</v>
      </c>
      <c r="K7" s="5" t="s">
        <v>9</v>
      </c>
      <c r="L7" s="5" t="s">
        <v>9</v>
      </c>
      <c r="M7" s="5" t="s">
        <v>10</v>
      </c>
      <c r="N7" s="5" t="s">
        <v>10</v>
      </c>
      <c r="O7" s="5" t="s">
        <v>11</v>
      </c>
      <c r="P7" s="76">
        <v>44926</v>
      </c>
      <c r="Q7" s="5" t="s">
        <v>31</v>
      </c>
      <c r="R7" s="5"/>
      <c r="S7" s="5"/>
      <c r="T7" s="37"/>
    </row>
    <row r="8" spans="1:20" ht="13.8" thickTop="1" x14ac:dyDescent="0.25">
      <c r="A8" s="235"/>
      <c r="B8" s="97"/>
      <c r="C8" s="75"/>
      <c r="D8" s="13"/>
      <c r="E8" s="13"/>
      <c r="F8" s="13"/>
      <c r="G8" s="13"/>
      <c r="H8" s="13"/>
      <c r="I8" s="13"/>
      <c r="J8" s="13"/>
      <c r="K8" s="14"/>
      <c r="L8" s="14"/>
      <c r="M8" s="14"/>
      <c r="N8" s="14"/>
      <c r="O8" s="14"/>
      <c r="P8" s="13"/>
      <c r="Q8" s="14"/>
      <c r="R8" s="14"/>
      <c r="S8" s="14"/>
      <c r="T8" s="20"/>
    </row>
    <row r="9" spans="1:20" x14ac:dyDescent="0.25">
      <c r="A9" s="224">
        <v>5112</v>
      </c>
      <c r="B9" s="42" t="s">
        <v>196</v>
      </c>
      <c r="C9" s="73">
        <v>16950</v>
      </c>
      <c r="D9" s="8">
        <v>16247.6</v>
      </c>
      <c r="E9" s="8">
        <v>17402</v>
      </c>
      <c r="F9" s="8">
        <v>17716.599999999999</v>
      </c>
      <c r="G9" s="8">
        <v>7797</v>
      </c>
      <c r="H9" s="8">
        <v>268.99</v>
      </c>
      <c r="I9" s="8">
        <v>382.2</v>
      </c>
      <c r="J9" s="8">
        <v>1601.8</v>
      </c>
      <c r="K9" s="9">
        <v>500</v>
      </c>
      <c r="L9" s="79"/>
      <c r="M9" s="9">
        <v>500</v>
      </c>
      <c r="N9" s="79"/>
      <c r="O9" s="9">
        <v>500</v>
      </c>
      <c r="P9" s="8"/>
      <c r="Q9" s="9">
        <v>500</v>
      </c>
      <c r="R9" s="9"/>
      <c r="S9" s="9"/>
      <c r="T9" s="20"/>
    </row>
    <row r="10" spans="1:20" x14ac:dyDescent="0.25">
      <c r="A10" s="224">
        <v>5114</v>
      </c>
      <c r="B10" s="42" t="s">
        <v>126</v>
      </c>
      <c r="C10" s="73"/>
      <c r="D10" s="8"/>
      <c r="E10" s="8"/>
      <c r="F10" s="8"/>
      <c r="G10" s="8">
        <v>4961.8500000000004</v>
      </c>
      <c r="H10" s="8">
        <v>9840.9500000000007</v>
      </c>
      <c r="I10" s="8">
        <v>10335.69</v>
      </c>
      <c r="J10" s="8">
        <v>10198.530000000001</v>
      </c>
      <c r="K10" s="9">
        <v>12236</v>
      </c>
      <c r="L10" s="79">
        <v>10749.16</v>
      </c>
      <c r="M10" s="9">
        <v>11546</v>
      </c>
      <c r="N10" s="79">
        <v>11245.99</v>
      </c>
      <c r="O10" s="9">
        <f>353+11835</f>
        <v>12188</v>
      </c>
      <c r="P10" s="8">
        <v>6025.7</v>
      </c>
      <c r="Q10" s="9">
        <f>ROUND((+'420 DPW'!P80),0)</f>
        <v>13471</v>
      </c>
      <c r="R10" s="9"/>
      <c r="S10" s="9"/>
      <c r="T10" s="20"/>
    </row>
    <row r="11" spans="1:20" x14ac:dyDescent="0.25">
      <c r="A11" s="224">
        <v>5132</v>
      </c>
      <c r="B11" s="42" t="s">
        <v>141</v>
      </c>
      <c r="C11" s="73">
        <v>271.2</v>
      </c>
      <c r="D11" s="8">
        <f>27.6+241.65</f>
        <v>269.25</v>
      </c>
      <c r="E11" s="8"/>
      <c r="F11" s="8">
        <v>410.68</v>
      </c>
      <c r="G11" s="8">
        <v>146.85</v>
      </c>
      <c r="H11" s="8">
        <v>518.64</v>
      </c>
      <c r="I11" s="8">
        <v>881.94</v>
      </c>
      <c r="J11" s="8">
        <v>2021.06</v>
      </c>
      <c r="K11" s="9">
        <v>750</v>
      </c>
      <c r="L11" s="8"/>
      <c r="M11" s="9">
        <v>750</v>
      </c>
      <c r="N11" s="8"/>
      <c r="O11" s="9">
        <v>750</v>
      </c>
      <c r="P11" s="8"/>
      <c r="Q11" s="9">
        <v>750</v>
      </c>
      <c r="R11" s="9"/>
      <c r="S11" s="9"/>
      <c r="T11" s="20"/>
    </row>
    <row r="12" spans="1:20" ht="13.8" thickBot="1" x14ac:dyDescent="0.3">
      <c r="A12" s="224">
        <v>5142</v>
      </c>
      <c r="B12" s="42" t="s">
        <v>127</v>
      </c>
      <c r="C12" s="74"/>
      <c r="D12" s="10"/>
      <c r="E12" s="10"/>
      <c r="F12" s="10"/>
      <c r="G12" s="10"/>
      <c r="H12" s="10"/>
      <c r="I12" s="10"/>
      <c r="J12" s="10"/>
      <c r="K12" s="11"/>
      <c r="L12" s="10"/>
      <c r="M12" s="11"/>
      <c r="N12" s="10"/>
      <c r="O12" s="11"/>
      <c r="P12" s="10"/>
      <c r="Q12" s="11"/>
      <c r="R12" s="11"/>
      <c r="S12" s="11"/>
      <c r="T12" s="20"/>
    </row>
    <row r="13" spans="1:20" x14ac:dyDescent="0.25">
      <c r="A13" s="224"/>
      <c r="B13" s="43" t="s">
        <v>32</v>
      </c>
      <c r="C13" s="75">
        <f t="shared" ref="C13:P13" si="0">SUM(C9:C12)</f>
        <v>17221.2</v>
      </c>
      <c r="D13" s="13">
        <f t="shared" si="0"/>
        <v>16516.849999999999</v>
      </c>
      <c r="E13" s="13">
        <f t="shared" si="0"/>
        <v>17402</v>
      </c>
      <c r="F13" s="13">
        <f>SUM(F9:F12)</f>
        <v>18127.28</v>
      </c>
      <c r="G13" s="13">
        <f>SUM(G9:G12)</f>
        <v>12905.7</v>
      </c>
      <c r="H13" s="13">
        <f>SUM(H9:H12)</f>
        <v>10628.58</v>
      </c>
      <c r="I13" s="13">
        <f t="shared" si="0"/>
        <v>11599.830000000002</v>
      </c>
      <c r="J13" s="13">
        <f t="shared" si="0"/>
        <v>13821.39</v>
      </c>
      <c r="K13" s="14">
        <f>SUM(K9:K12)</f>
        <v>13486</v>
      </c>
      <c r="L13" s="13">
        <f t="shared" ref="L13:N13" si="1">SUM(L9:L12)</f>
        <v>10749.16</v>
      </c>
      <c r="M13" s="14">
        <f>SUM(M9:M12)</f>
        <v>12796</v>
      </c>
      <c r="N13" s="13">
        <f t="shared" si="1"/>
        <v>11245.99</v>
      </c>
      <c r="O13" s="14">
        <f>SUM(O9:O12)</f>
        <v>13438</v>
      </c>
      <c r="P13" s="13">
        <f t="shared" si="0"/>
        <v>6025.7</v>
      </c>
      <c r="Q13" s="14">
        <f>SUM(Q9:Q12)</f>
        <v>14721</v>
      </c>
      <c r="R13" s="14">
        <f>SUM(R9:R12)</f>
        <v>0</v>
      </c>
      <c r="S13" s="14">
        <f>+Q13</f>
        <v>14721</v>
      </c>
      <c r="T13" s="20"/>
    </row>
    <row r="14" spans="1:20" x14ac:dyDescent="0.25">
      <c r="A14" s="224"/>
      <c r="B14" s="42"/>
      <c r="C14" s="73"/>
      <c r="D14" s="8"/>
      <c r="E14" s="8"/>
      <c r="F14" s="8"/>
      <c r="G14" s="8"/>
      <c r="H14" s="8"/>
      <c r="I14" s="8"/>
      <c r="J14" s="8"/>
      <c r="K14" s="9"/>
      <c r="L14" s="79"/>
      <c r="M14" s="9"/>
      <c r="N14" s="79"/>
      <c r="O14" s="9"/>
      <c r="P14" s="8"/>
      <c r="Q14" s="9"/>
      <c r="R14" s="9"/>
      <c r="S14" s="9"/>
      <c r="T14" s="20"/>
    </row>
    <row r="15" spans="1:20" x14ac:dyDescent="0.25">
      <c r="A15" s="224">
        <v>5280</v>
      </c>
      <c r="B15" s="42" t="s">
        <v>229</v>
      </c>
      <c r="C15" s="138">
        <v>279469.99</v>
      </c>
      <c r="D15" s="69">
        <v>283691.19</v>
      </c>
      <c r="E15" s="69">
        <v>236050.71</v>
      </c>
      <c r="F15" s="69">
        <v>268195.77</v>
      </c>
      <c r="G15" s="69">
        <v>267920.34999999998</v>
      </c>
      <c r="H15" s="69">
        <v>282465.24</v>
      </c>
      <c r="I15" s="69">
        <v>287843.42</v>
      </c>
      <c r="J15" s="69">
        <v>218312.36</v>
      </c>
      <c r="K15" s="14">
        <v>228200</v>
      </c>
      <c r="L15" s="69">
        <v>227997.97</v>
      </c>
      <c r="M15" s="14">
        <v>240000</v>
      </c>
      <c r="N15" s="69">
        <v>237299.87</v>
      </c>
      <c r="O15" s="14">
        <v>252000</v>
      </c>
      <c r="P15" s="79">
        <v>108869.4</v>
      </c>
      <c r="Q15" s="14">
        <v>260000</v>
      </c>
      <c r="R15" s="14"/>
      <c r="S15" s="14"/>
      <c r="T15" s="20"/>
    </row>
    <row r="16" spans="1:20" x14ac:dyDescent="0.25">
      <c r="A16" s="224">
        <v>5281</v>
      </c>
      <c r="B16" s="42" t="s">
        <v>230</v>
      </c>
      <c r="C16" s="73">
        <v>90976.54</v>
      </c>
      <c r="D16" s="13">
        <v>91840.23</v>
      </c>
      <c r="E16" s="13">
        <v>107166.88</v>
      </c>
      <c r="F16" s="13">
        <v>94196.47</v>
      </c>
      <c r="G16" s="13">
        <v>100475.88</v>
      </c>
      <c r="H16" s="13">
        <v>101142.96</v>
      </c>
      <c r="I16" s="69">
        <v>109404.98</v>
      </c>
      <c r="J16" s="69">
        <v>93541.08</v>
      </c>
      <c r="K16" s="14">
        <v>177000</v>
      </c>
      <c r="L16" s="69">
        <v>81853.899999999994</v>
      </c>
      <c r="M16" s="14">
        <v>140000</v>
      </c>
      <c r="N16" s="69">
        <v>97044.62</v>
      </c>
      <c r="O16" s="14">
        <v>115000</v>
      </c>
      <c r="P16" s="79">
        <v>44554.2</v>
      </c>
      <c r="Q16" s="14">
        <v>120000</v>
      </c>
      <c r="R16" s="14"/>
      <c r="S16" s="14"/>
      <c r="T16" s="20"/>
    </row>
    <row r="17" spans="1:20" x14ac:dyDescent="0.25">
      <c r="A17" s="224">
        <v>5282</v>
      </c>
      <c r="B17" s="42" t="s">
        <v>231</v>
      </c>
      <c r="C17" s="73">
        <v>18401.03</v>
      </c>
      <c r="D17" s="13">
        <v>19114.689999999999</v>
      </c>
      <c r="E17" s="13">
        <v>26908.31</v>
      </c>
      <c r="F17" s="13">
        <v>22310.400000000001</v>
      </c>
      <c r="G17" s="13">
        <v>17300.37</v>
      </c>
      <c r="H17" s="13">
        <v>21473</v>
      </c>
      <c r="I17" s="69">
        <v>30257.25</v>
      </c>
      <c r="J17" s="69">
        <v>38225.019999999997</v>
      </c>
      <c r="K17" s="14">
        <v>32700</v>
      </c>
      <c r="L17" s="69">
        <v>46886.03</v>
      </c>
      <c r="M17" s="14">
        <v>48000</v>
      </c>
      <c r="N17" s="69">
        <v>52539.1</v>
      </c>
      <c r="O17" s="14">
        <v>50400</v>
      </c>
      <c r="P17" s="79">
        <v>21644.68</v>
      </c>
      <c r="Q17" s="14">
        <v>55000</v>
      </c>
      <c r="R17" s="14"/>
      <c r="S17" s="14"/>
      <c r="T17" s="20"/>
    </row>
    <row r="18" spans="1:20" x14ac:dyDescent="0.25">
      <c r="A18" s="224">
        <v>5283</v>
      </c>
      <c r="B18" s="42" t="s">
        <v>232</v>
      </c>
      <c r="C18" s="73">
        <v>3302.24</v>
      </c>
      <c r="D18" s="13">
        <v>2617.9699999999998</v>
      </c>
      <c r="E18" s="13">
        <v>3665.4</v>
      </c>
      <c r="F18" s="13">
        <v>4660.2299999999996</v>
      </c>
      <c r="G18" s="13">
        <v>4331.24</v>
      </c>
      <c r="H18" s="13">
        <v>4549.66</v>
      </c>
      <c r="I18" s="69">
        <v>4531.5200000000004</v>
      </c>
      <c r="J18" s="69">
        <v>4905.32</v>
      </c>
      <c r="K18" s="14">
        <v>5500</v>
      </c>
      <c r="L18" s="69">
        <v>4336.66</v>
      </c>
      <c r="M18" s="14">
        <v>5500</v>
      </c>
      <c r="N18" s="69">
        <v>3573</v>
      </c>
      <c r="O18" s="14">
        <v>5500</v>
      </c>
      <c r="P18" s="79">
        <v>3574</v>
      </c>
      <c r="Q18" s="14">
        <v>5500</v>
      </c>
      <c r="R18" s="14"/>
      <c r="S18" s="14"/>
      <c r="T18" s="20"/>
    </row>
    <row r="19" spans="1:20" x14ac:dyDescent="0.25">
      <c r="A19" s="224">
        <v>5284</v>
      </c>
      <c r="B19" s="7" t="s">
        <v>233</v>
      </c>
      <c r="C19" s="8">
        <v>12531.6</v>
      </c>
      <c r="D19" s="13">
        <v>12690.59</v>
      </c>
      <c r="E19" s="13">
        <v>12756.08</v>
      </c>
      <c r="F19" s="13">
        <v>12699.72</v>
      </c>
      <c r="G19" s="13">
        <v>13099.3</v>
      </c>
      <c r="H19" s="13">
        <v>13526.98</v>
      </c>
      <c r="I19" s="69">
        <v>13542.32</v>
      </c>
      <c r="J19" s="69">
        <v>16234.27</v>
      </c>
      <c r="K19" s="14">
        <v>18000</v>
      </c>
      <c r="L19" s="69">
        <v>16244.84</v>
      </c>
      <c r="M19" s="14">
        <v>18000</v>
      </c>
      <c r="N19" s="69">
        <v>18982.650000000001</v>
      </c>
      <c r="O19" s="14">
        <v>20000</v>
      </c>
      <c r="P19" s="79"/>
      <c r="Q19" s="14">
        <v>20000</v>
      </c>
      <c r="R19" s="14"/>
      <c r="S19" s="14"/>
      <c r="T19" s="20"/>
    </row>
    <row r="20" spans="1:20" x14ac:dyDescent="0.25">
      <c r="A20" s="224">
        <v>5285</v>
      </c>
      <c r="B20" s="7" t="s">
        <v>234</v>
      </c>
      <c r="C20" s="100"/>
      <c r="D20" s="121"/>
      <c r="E20" s="121"/>
      <c r="F20" s="69"/>
      <c r="G20" s="69"/>
      <c r="H20" s="69"/>
      <c r="I20" s="69"/>
      <c r="J20" s="69">
        <v>108924.95</v>
      </c>
      <c r="K20" s="14">
        <v>115000</v>
      </c>
      <c r="L20" s="69">
        <v>139194.21</v>
      </c>
      <c r="M20" s="14">
        <v>150000</v>
      </c>
      <c r="N20" s="69">
        <v>122880.03</v>
      </c>
      <c r="O20" s="14">
        <v>157500</v>
      </c>
      <c r="P20" s="79">
        <v>46403.39</v>
      </c>
      <c r="Q20" s="14">
        <v>157500</v>
      </c>
      <c r="R20" s="14"/>
      <c r="S20" s="14"/>
      <c r="T20" s="20"/>
    </row>
    <row r="21" spans="1:20" s="101" customFormat="1" x14ac:dyDescent="0.25">
      <c r="A21" s="224">
        <v>5286</v>
      </c>
      <c r="B21" s="7" t="s">
        <v>235</v>
      </c>
      <c r="C21" s="100"/>
      <c r="D21" s="121"/>
      <c r="E21" s="121"/>
      <c r="F21" s="69"/>
      <c r="G21" s="69"/>
      <c r="H21" s="69"/>
      <c r="I21" s="69"/>
      <c r="J21" s="69">
        <v>16626.84</v>
      </c>
      <c r="K21" s="14"/>
      <c r="L21" s="69">
        <v>22095.95</v>
      </c>
      <c r="M21" s="89"/>
      <c r="N21" s="69">
        <v>11715.77</v>
      </c>
      <c r="O21" s="14">
        <v>32000</v>
      </c>
      <c r="P21" s="79">
        <v>16064.88</v>
      </c>
      <c r="Q21" s="14">
        <v>32000</v>
      </c>
      <c r="R21" s="14"/>
      <c r="S21" s="14"/>
      <c r="T21" s="20"/>
    </row>
    <row r="22" spans="1:20" x14ac:dyDescent="0.25">
      <c r="A22" s="224">
        <v>5315</v>
      </c>
      <c r="B22" s="7" t="s">
        <v>236</v>
      </c>
      <c r="C22" s="27"/>
      <c r="D22" s="22"/>
      <c r="E22" s="22"/>
      <c r="F22" s="8">
        <v>6910.1</v>
      </c>
      <c r="G22" s="8">
        <v>195</v>
      </c>
      <c r="H22" s="8">
        <v>400</v>
      </c>
      <c r="I22" s="79">
        <v>150</v>
      </c>
      <c r="J22" s="79">
        <v>400</v>
      </c>
      <c r="K22" s="9">
        <v>1500</v>
      </c>
      <c r="L22" s="79">
        <v>150</v>
      </c>
      <c r="M22" s="14">
        <v>1500</v>
      </c>
      <c r="N22" s="69">
        <v>175</v>
      </c>
      <c r="O22" s="14">
        <v>1500</v>
      </c>
      <c r="P22" s="8">
        <v>175</v>
      </c>
      <c r="Q22" s="14">
        <v>500</v>
      </c>
      <c r="R22" s="14"/>
      <c r="S22" s="14"/>
      <c r="T22" s="20"/>
    </row>
    <row r="23" spans="1:20" x14ac:dyDescent="0.25">
      <c r="A23" s="224">
        <v>5380</v>
      </c>
      <c r="B23" s="7" t="s">
        <v>237</v>
      </c>
      <c r="C23" s="27"/>
      <c r="D23" s="22"/>
      <c r="E23" s="22"/>
      <c r="F23" s="22"/>
      <c r="G23" s="22">
        <v>1116.5</v>
      </c>
      <c r="H23" s="22">
        <v>159.94999999999999</v>
      </c>
      <c r="I23" s="121"/>
      <c r="J23" s="121"/>
      <c r="K23" s="23"/>
      <c r="L23" s="121">
        <v>219</v>
      </c>
      <c r="M23" s="23"/>
      <c r="N23" s="121">
        <v>305</v>
      </c>
      <c r="O23" s="23"/>
      <c r="P23" s="22">
        <v>1544.8</v>
      </c>
      <c r="Q23" s="23">
        <v>1000</v>
      </c>
      <c r="R23" s="23"/>
      <c r="S23" s="23"/>
      <c r="T23" s="20"/>
    </row>
    <row r="24" spans="1:20" ht="13.8" thickBot="1" x14ac:dyDescent="0.3">
      <c r="A24" s="224">
        <v>5420</v>
      </c>
      <c r="B24" s="7" t="s">
        <v>43</v>
      </c>
      <c r="C24" s="10">
        <v>7536.34</v>
      </c>
      <c r="D24" s="10">
        <v>4635.58</v>
      </c>
      <c r="E24" s="10">
        <v>4881.71</v>
      </c>
      <c r="F24" s="10">
        <v>5984.95</v>
      </c>
      <c r="G24" s="10">
        <v>6735.54</v>
      </c>
      <c r="H24" s="10">
        <v>6956.43</v>
      </c>
      <c r="I24" s="119">
        <v>818.2</v>
      </c>
      <c r="J24" s="119">
        <v>6907.06</v>
      </c>
      <c r="K24" s="11">
        <v>7500</v>
      </c>
      <c r="L24" s="119">
        <v>14564.7</v>
      </c>
      <c r="M24" s="11">
        <v>9000</v>
      </c>
      <c r="N24" s="119">
        <v>9584.1200000000008</v>
      </c>
      <c r="O24" s="11">
        <v>9000</v>
      </c>
      <c r="P24" s="10">
        <v>224.56</v>
      </c>
      <c r="Q24" s="11">
        <v>13000</v>
      </c>
      <c r="R24" s="11"/>
      <c r="S24" s="11"/>
      <c r="T24" s="20"/>
    </row>
    <row r="25" spans="1:20" x14ac:dyDescent="0.25">
      <c r="A25" s="224"/>
      <c r="B25" s="12" t="s">
        <v>34</v>
      </c>
      <c r="C25" s="13">
        <f t="shared" ref="C25:R25" si="2">SUM(C15:C24)</f>
        <v>412217.73999999993</v>
      </c>
      <c r="D25" s="13">
        <f t="shared" si="2"/>
        <v>414590.25</v>
      </c>
      <c r="E25" s="13">
        <f t="shared" si="2"/>
        <v>391429.09</v>
      </c>
      <c r="F25" s="13">
        <f t="shared" si="2"/>
        <v>414957.63999999996</v>
      </c>
      <c r="G25" s="13">
        <f t="shared" si="2"/>
        <v>411174.17999999993</v>
      </c>
      <c r="H25" s="13">
        <f t="shared" si="2"/>
        <v>430674.22</v>
      </c>
      <c r="I25" s="13">
        <f t="shared" si="2"/>
        <v>446547.69</v>
      </c>
      <c r="J25" s="13">
        <f t="shared" si="2"/>
        <v>504076.90000000008</v>
      </c>
      <c r="K25" s="14">
        <f t="shared" si="2"/>
        <v>585400</v>
      </c>
      <c r="L25" s="69">
        <f t="shared" si="2"/>
        <v>553543.25999999989</v>
      </c>
      <c r="M25" s="14">
        <f t="shared" si="2"/>
        <v>612000</v>
      </c>
      <c r="N25" s="69">
        <f t="shared" ref="N25" si="3">SUM(N15:N24)</f>
        <v>554099.16</v>
      </c>
      <c r="O25" s="14">
        <f t="shared" si="2"/>
        <v>642900</v>
      </c>
      <c r="P25" s="13">
        <f t="shared" si="2"/>
        <v>243054.90999999997</v>
      </c>
      <c r="Q25" s="14">
        <f t="shared" si="2"/>
        <v>664500</v>
      </c>
      <c r="R25" s="14">
        <f t="shared" si="2"/>
        <v>0</v>
      </c>
      <c r="S25" s="14">
        <f>+Q25</f>
        <v>664500</v>
      </c>
      <c r="T25" s="20"/>
    </row>
    <row r="26" spans="1:20" x14ac:dyDescent="0.25">
      <c r="A26" s="224"/>
      <c r="B26" s="12"/>
      <c r="C26" s="8"/>
      <c r="D26" s="8"/>
      <c r="E26" s="8"/>
      <c r="F26" s="8"/>
      <c r="G26" s="8"/>
      <c r="H26" s="8"/>
      <c r="I26" s="8"/>
      <c r="J26" s="8"/>
      <c r="K26" s="9"/>
      <c r="L26" s="8"/>
      <c r="M26" s="9"/>
      <c r="N26" s="8"/>
      <c r="O26" s="9"/>
      <c r="P26" s="8"/>
      <c r="Q26" s="9"/>
      <c r="R26" s="9"/>
      <c r="S26" s="9"/>
      <c r="T26" s="20"/>
    </row>
    <row r="27" spans="1:20" ht="13.8" thickBot="1" x14ac:dyDescent="0.3">
      <c r="A27" s="225"/>
      <c r="B27" s="15" t="s">
        <v>238</v>
      </c>
      <c r="C27" s="16">
        <f t="shared" ref="C27:H27" si="4">+C25+C13</f>
        <v>429438.93999999994</v>
      </c>
      <c r="D27" s="16">
        <f t="shared" si="4"/>
        <v>431107.1</v>
      </c>
      <c r="E27" s="16">
        <f t="shared" si="4"/>
        <v>408831.09</v>
      </c>
      <c r="F27" s="16">
        <f t="shared" si="4"/>
        <v>433084.91999999993</v>
      </c>
      <c r="G27" s="16">
        <f t="shared" si="4"/>
        <v>424079.87999999995</v>
      </c>
      <c r="H27" s="16">
        <f t="shared" si="4"/>
        <v>441302.8</v>
      </c>
      <c r="I27" s="16">
        <f t="shared" ref="I27:S27" si="5">++I25+I13</f>
        <v>458147.52</v>
      </c>
      <c r="J27" s="16">
        <f t="shared" si="5"/>
        <v>517898.2900000001</v>
      </c>
      <c r="K27" s="17">
        <f t="shared" si="5"/>
        <v>598886</v>
      </c>
      <c r="L27" s="16">
        <f t="shared" si="5"/>
        <v>564292.41999999993</v>
      </c>
      <c r="M27" s="17">
        <f t="shared" si="5"/>
        <v>624796</v>
      </c>
      <c r="N27" s="16">
        <f t="shared" ref="N27" si="6">++N25+N13</f>
        <v>565345.15</v>
      </c>
      <c r="O27" s="17">
        <f t="shared" si="5"/>
        <v>656338</v>
      </c>
      <c r="P27" s="16">
        <f t="shared" si="5"/>
        <v>249080.61</v>
      </c>
      <c r="Q27" s="17">
        <f t="shared" si="5"/>
        <v>679221</v>
      </c>
      <c r="R27" s="17">
        <f t="shared" si="5"/>
        <v>0</v>
      </c>
      <c r="S27" s="17">
        <f t="shared" si="5"/>
        <v>679221</v>
      </c>
      <c r="T27" s="20"/>
    </row>
    <row r="28" spans="1:20" ht="13.8" thickTop="1" x14ac:dyDescent="0.25">
      <c r="A28" s="219"/>
      <c r="B28" s="3"/>
      <c r="C28" s="18"/>
      <c r="D28" s="18"/>
      <c r="E28" s="18"/>
      <c r="F28" s="18"/>
      <c r="G28" s="18"/>
      <c r="H28" s="18"/>
      <c r="I28" s="18"/>
      <c r="J28" s="18"/>
      <c r="K28" s="19"/>
      <c r="L28" s="20"/>
      <c r="M28" s="20"/>
      <c r="N28" s="20"/>
      <c r="O28" s="20"/>
      <c r="P28" s="94" t="s">
        <v>37</v>
      </c>
      <c r="Q28" s="278">
        <f>+Q27-O27</f>
        <v>22883</v>
      </c>
      <c r="R28" s="279">
        <f>ROUND((+Q28/O27),4)</f>
        <v>3.49E-2</v>
      </c>
      <c r="S28" s="18"/>
      <c r="T28" s="18"/>
    </row>
    <row r="29" spans="1:20" x14ac:dyDescent="0.25">
      <c r="A29" s="219"/>
      <c r="B29" s="3"/>
      <c r="C29" s="18"/>
      <c r="D29" s="18"/>
      <c r="E29" s="18"/>
      <c r="F29" s="18"/>
      <c r="G29" s="18"/>
      <c r="H29" s="18"/>
      <c r="I29" s="18"/>
      <c r="J29" s="18"/>
      <c r="K29" s="19"/>
      <c r="L29" s="20"/>
      <c r="M29" s="20"/>
      <c r="N29" s="20"/>
      <c r="O29" s="20"/>
      <c r="P29" s="20"/>
      <c r="Q29" s="18"/>
      <c r="R29" s="18"/>
      <c r="S29" s="18"/>
      <c r="T29" s="18"/>
    </row>
    <row r="30" spans="1:20" x14ac:dyDescent="0.25">
      <c r="A30" s="45"/>
      <c r="B30" s="3"/>
      <c r="C30" s="18"/>
      <c r="D30" s="18"/>
      <c r="E30" s="18"/>
      <c r="F30" s="18"/>
      <c r="G30" s="18"/>
      <c r="H30" s="18"/>
      <c r="I30" s="18"/>
      <c r="J30" s="18"/>
      <c r="K30" s="18"/>
      <c r="L30" s="18"/>
      <c r="M30" s="18"/>
      <c r="N30" s="18"/>
      <c r="O30" s="18"/>
      <c r="P30" s="20"/>
      <c r="Q30" s="18"/>
      <c r="R30" s="18"/>
      <c r="S30" s="18"/>
      <c r="T30" s="18"/>
    </row>
    <row r="31" spans="1:20" ht="13.8" thickBot="1" x14ac:dyDescent="0.3">
      <c r="A31" s="219"/>
      <c r="B31" s="3"/>
      <c r="C31" s="18"/>
      <c r="D31" s="18"/>
      <c r="E31" s="18"/>
      <c r="F31" s="18"/>
      <c r="G31" s="18"/>
      <c r="H31" s="18"/>
      <c r="I31" s="18"/>
      <c r="J31" s="18"/>
      <c r="K31" s="18"/>
      <c r="L31" s="18"/>
      <c r="M31" s="18"/>
      <c r="N31" s="18"/>
      <c r="O31" s="18"/>
      <c r="P31" s="20"/>
      <c r="Q31" s="18"/>
      <c r="R31" s="18"/>
      <c r="S31" s="20"/>
      <c r="T31" s="20"/>
    </row>
    <row r="32" spans="1:20" ht="13.8" thickTop="1" x14ac:dyDescent="0.25">
      <c r="A32" s="231"/>
      <c r="B32" s="145"/>
      <c r="C32" s="146" t="s">
        <v>13</v>
      </c>
      <c r="D32" s="147" t="s">
        <v>13</v>
      </c>
      <c r="E32" s="147" t="s">
        <v>13</v>
      </c>
      <c r="F32" s="99"/>
      <c r="G32" s="99"/>
      <c r="H32" s="99"/>
      <c r="I32" s="99"/>
      <c r="J32" s="99"/>
      <c r="K32" s="99"/>
      <c r="L32" s="99"/>
      <c r="M32" s="148" t="s">
        <v>12</v>
      </c>
      <c r="N32" s="149" t="s">
        <v>31</v>
      </c>
      <c r="O32" s="150" t="s">
        <v>35</v>
      </c>
      <c r="P32" s="149" t="s">
        <v>36</v>
      </c>
      <c r="Q32" s="151"/>
      <c r="R32" s="193"/>
      <c r="S32" s="150"/>
      <c r="T32" s="266"/>
    </row>
    <row r="33" spans="1:20" ht="13.8" thickBot="1" x14ac:dyDescent="0.3">
      <c r="A33" s="232"/>
      <c r="B33" s="152"/>
      <c r="C33" s="153" t="s">
        <v>4</v>
      </c>
      <c r="D33" s="153" t="s">
        <v>5</v>
      </c>
      <c r="E33" s="154" t="s">
        <v>6</v>
      </c>
      <c r="F33" s="99"/>
      <c r="G33" s="99"/>
      <c r="H33" s="99"/>
      <c r="I33" s="99"/>
      <c r="J33" s="99"/>
      <c r="K33" s="99"/>
      <c r="L33" s="99"/>
      <c r="M33" s="155" t="s">
        <v>11</v>
      </c>
      <c r="N33" s="155" t="s">
        <v>18</v>
      </c>
      <c r="O33" s="154" t="s">
        <v>37</v>
      </c>
      <c r="P33" s="156" t="s">
        <v>37</v>
      </c>
      <c r="Q33" s="157" t="s">
        <v>38</v>
      </c>
      <c r="R33" s="194"/>
      <c r="S33" s="155"/>
      <c r="T33" s="266"/>
    </row>
    <row r="34" spans="1:20" ht="13.8" thickTop="1" x14ac:dyDescent="0.25">
      <c r="A34" s="236"/>
      <c r="B34" s="168"/>
      <c r="C34" s="158"/>
      <c r="D34" s="158"/>
      <c r="E34" s="158"/>
      <c r="F34" s="99"/>
      <c r="G34" s="99"/>
      <c r="H34" s="99"/>
      <c r="I34" s="99"/>
      <c r="J34" s="99"/>
      <c r="K34" s="99"/>
      <c r="L34" s="99"/>
      <c r="M34" s="159"/>
      <c r="N34" s="158"/>
      <c r="O34" s="179"/>
      <c r="P34" s="166"/>
      <c r="Q34" s="160"/>
      <c r="R34" s="195"/>
      <c r="S34" s="161"/>
      <c r="T34" s="181"/>
    </row>
    <row r="35" spans="1:20" x14ac:dyDescent="0.25">
      <c r="A35" s="234">
        <v>5112</v>
      </c>
      <c r="B35" s="162" t="s">
        <v>196</v>
      </c>
      <c r="C35" s="165">
        <v>16950</v>
      </c>
      <c r="D35" s="165">
        <v>16247.6</v>
      </c>
      <c r="E35" s="165">
        <v>17402</v>
      </c>
      <c r="F35" s="99"/>
      <c r="G35" s="99"/>
      <c r="H35" s="99"/>
      <c r="I35" s="99"/>
      <c r="J35" s="99"/>
      <c r="K35" s="99"/>
      <c r="L35" s="99"/>
      <c r="M35" s="164">
        <f>+O9</f>
        <v>500</v>
      </c>
      <c r="N35" s="178">
        <f>+Q9</f>
        <v>500</v>
      </c>
      <c r="O35" s="164"/>
      <c r="P35" s="165"/>
      <c r="Q35" s="160"/>
      <c r="R35" s="195"/>
      <c r="S35" s="161"/>
      <c r="T35" s="181"/>
    </row>
    <row r="36" spans="1:20" x14ac:dyDescent="0.25">
      <c r="A36" s="234">
        <v>5114</v>
      </c>
      <c r="B36" s="162" t="s">
        <v>126</v>
      </c>
      <c r="C36" s="165"/>
      <c r="D36" s="165"/>
      <c r="E36" s="165"/>
      <c r="F36" s="99"/>
      <c r="G36" s="99"/>
      <c r="H36" s="99"/>
      <c r="I36" s="99"/>
      <c r="J36" s="99"/>
      <c r="K36" s="99"/>
      <c r="L36" s="99"/>
      <c r="M36" s="164">
        <f>+O10</f>
        <v>12188</v>
      </c>
      <c r="N36" s="178">
        <f>+Q10</f>
        <v>13471</v>
      </c>
      <c r="O36" s="179">
        <f t="shared" ref="O36:O47" si="7">+N36-M36</f>
        <v>1283</v>
      </c>
      <c r="P36" s="166">
        <f t="shared" ref="P36:P47" si="8">IF(M36+N36&lt;&gt;0,IF(M36&lt;&gt;0,IF(O36&lt;&gt;0,ROUND((+O36/M36),4),""),1),"")</f>
        <v>0.1053</v>
      </c>
      <c r="Q36" s="160" t="s">
        <v>299</v>
      </c>
      <c r="R36" s="195"/>
      <c r="S36" s="161"/>
      <c r="T36" s="181"/>
    </row>
    <row r="37" spans="1:20" x14ac:dyDescent="0.25">
      <c r="A37" s="234">
        <v>5132</v>
      </c>
      <c r="B37" s="162" t="s">
        <v>141</v>
      </c>
      <c r="C37" s="165">
        <v>271.2</v>
      </c>
      <c r="D37" s="165">
        <f>27.6+241.65</f>
        <v>269.25</v>
      </c>
      <c r="E37" s="165"/>
      <c r="F37" s="99"/>
      <c r="G37" s="99"/>
      <c r="H37" s="99"/>
      <c r="I37" s="99"/>
      <c r="J37" s="99"/>
      <c r="K37" s="99"/>
      <c r="L37" s="99"/>
      <c r="M37" s="164">
        <f>+O11</f>
        <v>750</v>
      </c>
      <c r="N37" s="178">
        <f>+Q11</f>
        <v>750</v>
      </c>
      <c r="O37" s="179">
        <f t="shared" si="7"/>
        <v>0</v>
      </c>
      <c r="P37" s="166" t="str">
        <f t="shared" si="8"/>
        <v/>
      </c>
      <c r="Q37" s="160"/>
      <c r="R37" s="195"/>
      <c r="S37" s="161"/>
      <c r="T37" s="181"/>
    </row>
    <row r="38" spans="1:20" ht="13.8" thickBot="1" x14ac:dyDescent="0.3">
      <c r="A38" s="234">
        <v>5142</v>
      </c>
      <c r="B38" s="162" t="s">
        <v>127</v>
      </c>
      <c r="C38" s="163"/>
      <c r="D38" s="163"/>
      <c r="E38" s="163"/>
      <c r="F38" s="99"/>
      <c r="G38" s="99"/>
      <c r="H38" s="99"/>
      <c r="I38" s="99"/>
      <c r="J38" s="99"/>
      <c r="K38" s="99"/>
      <c r="L38" s="99"/>
      <c r="M38" s="164">
        <f>+O12</f>
        <v>0</v>
      </c>
      <c r="N38" s="178">
        <f>+Q12</f>
        <v>0</v>
      </c>
      <c r="O38" s="179">
        <f t="shared" si="7"/>
        <v>0</v>
      </c>
      <c r="P38" s="166" t="str">
        <f t="shared" si="8"/>
        <v/>
      </c>
      <c r="Q38" s="160"/>
      <c r="R38" s="195"/>
      <c r="S38" s="161"/>
      <c r="T38" s="181"/>
    </row>
    <row r="39" spans="1:20" x14ac:dyDescent="0.25">
      <c r="A39" s="234">
        <v>5280</v>
      </c>
      <c r="B39" s="162" t="s">
        <v>239</v>
      </c>
      <c r="C39" s="165">
        <v>279469.99</v>
      </c>
      <c r="D39" s="158">
        <v>283691.19</v>
      </c>
      <c r="E39" s="158">
        <v>236050.71</v>
      </c>
      <c r="F39" s="99"/>
      <c r="G39" s="99"/>
      <c r="H39" s="99"/>
      <c r="I39" s="99"/>
      <c r="J39" s="99"/>
      <c r="K39" s="99"/>
      <c r="L39" s="99"/>
      <c r="M39" s="159">
        <f t="shared" ref="M39:M44" si="9">O15</f>
        <v>252000</v>
      </c>
      <c r="N39" s="178">
        <f t="shared" ref="N39:N44" si="10">+Q15</f>
        <v>260000</v>
      </c>
      <c r="O39" s="179">
        <f t="shared" si="7"/>
        <v>8000</v>
      </c>
      <c r="P39" s="166">
        <f t="shared" si="8"/>
        <v>3.1699999999999999E-2</v>
      </c>
      <c r="Q39" s="160" t="s">
        <v>300</v>
      </c>
      <c r="R39" s="195"/>
      <c r="S39" s="161"/>
      <c r="T39" s="181"/>
    </row>
    <row r="40" spans="1:20" x14ac:dyDescent="0.25">
      <c r="A40" s="234">
        <v>5281</v>
      </c>
      <c r="B40" s="162" t="s">
        <v>240</v>
      </c>
      <c r="C40" s="165">
        <v>90976.54</v>
      </c>
      <c r="D40" s="158">
        <v>91840.23</v>
      </c>
      <c r="E40" s="158">
        <v>107166.88</v>
      </c>
      <c r="F40" s="99"/>
      <c r="G40" s="99"/>
      <c r="H40" s="99"/>
      <c r="I40" s="99"/>
      <c r="J40" s="99"/>
      <c r="K40" s="99"/>
      <c r="L40" s="99"/>
      <c r="M40" s="159">
        <f t="shared" si="9"/>
        <v>115000</v>
      </c>
      <c r="N40" s="178">
        <f t="shared" si="10"/>
        <v>120000</v>
      </c>
      <c r="O40" s="179">
        <f t="shared" si="7"/>
        <v>5000</v>
      </c>
      <c r="P40" s="166">
        <f t="shared" si="8"/>
        <v>4.3499999999999997E-2</v>
      </c>
      <c r="Q40" s="160" t="s">
        <v>300</v>
      </c>
      <c r="R40" s="195"/>
      <c r="S40" s="161"/>
      <c r="T40" s="181"/>
    </row>
    <row r="41" spans="1:20" x14ac:dyDescent="0.25">
      <c r="A41" s="234">
        <v>5282</v>
      </c>
      <c r="B41" s="162" t="s">
        <v>231</v>
      </c>
      <c r="C41" s="165">
        <v>18401.03</v>
      </c>
      <c r="D41" s="158">
        <v>19114.689999999999</v>
      </c>
      <c r="E41" s="158">
        <v>26908.31</v>
      </c>
      <c r="F41" s="99"/>
      <c r="G41" s="99"/>
      <c r="H41" s="99"/>
      <c r="I41" s="99"/>
      <c r="J41" s="99"/>
      <c r="K41" s="99"/>
      <c r="L41" s="99"/>
      <c r="M41" s="159">
        <f t="shared" si="9"/>
        <v>50400</v>
      </c>
      <c r="N41" s="178">
        <f t="shared" si="10"/>
        <v>55000</v>
      </c>
      <c r="O41" s="179">
        <f t="shared" si="7"/>
        <v>4600</v>
      </c>
      <c r="P41" s="166">
        <f t="shared" si="8"/>
        <v>9.1300000000000006E-2</v>
      </c>
      <c r="Q41" s="160" t="s">
        <v>300</v>
      </c>
      <c r="R41" s="195"/>
      <c r="S41" s="161"/>
      <c r="T41" s="181"/>
    </row>
    <row r="42" spans="1:20" x14ac:dyDescent="0.25">
      <c r="A42" s="234">
        <v>5283</v>
      </c>
      <c r="B42" s="162" t="s">
        <v>232</v>
      </c>
      <c r="C42" s="165">
        <v>3302.24</v>
      </c>
      <c r="D42" s="158">
        <v>2617.9699999999998</v>
      </c>
      <c r="E42" s="158">
        <v>3665.4</v>
      </c>
      <c r="F42" s="99"/>
      <c r="G42" s="99"/>
      <c r="H42" s="99"/>
      <c r="I42" s="99"/>
      <c r="J42" s="99"/>
      <c r="K42" s="99"/>
      <c r="L42" s="99"/>
      <c r="M42" s="159">
        <f t="shared" si="9"/>
        <v>5500</v>
      </c>
      <c r="N42" s="178">
        <f t="shared" si="10"/>
        <v>5500</v>
      </c>
      <c r="O42" s="179">
        <f t="shared" si="7"/>
        <v>0</v>
      </c>
      <c r="P42" s="166" t="str">
        <f t="shared" si="8"/>
        <v/>
      </c>
      <c r="Q42" s="160"/>
      <c r="R42" s="195"/>
      <c r="S42" s="161"/>
      <c r="T42" s="181"/>
    </row>
    <row r="43" spans="1:20" x14ac:dyDescent="0.25">
      <c r="A43" s="234">
        <v>5284</v>
      </c>
      <c r="B43" s="162" t="s">
        <v>233</v>
      </c>
      <c r="C43" s="165">
        <v>12531.6</v>
      </c>
      <c r="D43" s="158">
        <v>12690.59</v>
      </c>
      <c r="E43" s="158">
        <v>12756.08</v>
      </c>
      <c r="F43" s="99"/>
      <c r="G43" s="99"/>
      <c r="H43" s="99"/>
      <c r="I43" s="99"/>
      <c r="J43" s="99"/>
      <c r="K43" s="99"/>
      <c r="L43" s="99"/>
      <c r="M43" s="159">
        <f t="shared" si="9"/>
        <v>20000</v>
      </c>
      <c r="N43" s="178">
        <f t="shared" si="10"/>
        <v>20000</v>
      </c>
      <c r="O43" s="179">
        <f t="shared" si="7"/>
        <v>0</v>
      </c>
      <c r="P43" s="166" t="str">
        <f t="shared" si="8"/>
        <v/>
      </c>
      <c r="Q43" s="160"/>
      <c r="R43" s="195"/>
      <c r="S43" s="161"/>
      <c r="T43" s="181"/>
    </row>
    <row r="44" spans="1:20" x14ac:dyDescent="0.25">
      <c r="A44" s="234">
        <v>5285</v>
      </c>
      <c r="B44" s="162" t="s">
        <v>241</v>
      </c>
      <c r="C44" s="167"/>
      <c r="D44" s="169"/>
      <c r="E44" s="169"/>
      <c r="F44" s="99"/>
      <c r="G44" s="99"/>
      <c r="H44" s="99"/>
      <c r="I44" s="99"/>
      <c r="J44" s="99"/>
      <c r="K44" s="99"/>
      <c r="L44" s="99"/>
      <c r="M44" s="159">
        <f t="shared" si="9"/>
        <v>157500</v>
      </c>
      <c r="N44" s="178">
        <f t="shared" si="10"/>
        <v>157500</v>
      </c>
      <c r="O44" s="179">
        <f t="shared" si="7"/>
        <v>0</v>
      </c>
      <c r="P44" s="166" t="str">
        <f t="shared" si="8"/>
        <v/>
      </c>
      <c r="Q44" s="160"/>
      <c r="R44" s="195"/>
      <c r="S44" s="161"/>
      <c r="T44" s="181"/>
    </row>
    <row r="45" spans="1:20" x14ac:dyDescent="0.25">
      <c r="A45" s="234">
        <v>5315</v>
      </c>
      <c r="B45" s="162" t="s">
        <v>236</v>
      </c>
      <c r="C45" s="167"/>
      <c r="D45" s="169"/>
      <c r="E45" s="169"/>
      <c r="F45" s="99"/>
      <c r="G45" s="99"/>
      <c r="H45" s="99"/>
      <c r="I45" s="99"/>
      <c r="J45" s="99"/>
      <c r="K45" s="99"/>
      <c r="L45" s="99"/>
      <c r="M45" s="159">
        <f>O22</f>
        <v>1500</v>
      </c>
      <c r="N45" s="178">
        <f>+Q22</f>
        <v>500</v>
      </c>
      <c r="O45" s="179">
        <f t="shared" si="7"/>
        <v>-1000</v>
      </c>
      <c r="P45" s="166">
        <f t="shared" si="8"/>
        <v>-0.66669999999999996</v>
      </c>
      <c r="Q45" s="160"/>
      <c r="R45" s="195"/>
      <c r="S45" s="161"/>
      <c r="T45" s="181"/>
    </row>
    <row r="46" spans="1:20" x14ac:dyDescent="0.25">
      <c r="A46" s="234">
        <v>5380</v>
      </c>
      <c r="B46" s="162" t="s">
        <v>237</v>
      </c>
      <c r="C46" s="167"/>
      <c r="D46" s="169"/>
      <c r="E46" s="169"/>
      <c r="F46" s="99"/>
      <c r="G46" s="99"/>
      <c r="H46" s="99"/>
      <c r="I46" s="99"/>
      <c r="J46" s="99"/>
      <c r="K46" s="99"/>
      <c r="L46" s="99"/>
      <c r="M46" s="159">
        <f>O23</f>
        <v>0</v>
      </c>
      <c r="N46" s="178">
        <f>+Q23</f>
        <v>1000</v>
      </c>
      <c r="O46" s="179">
        <f t="shared" si="7"/>
        <v>1000</v>
      </c>
      <c r="P46" s="166">
        <f t="shared" si="8"/>
        <v>1</v>
      </c>
      <c r="Q46" s="160"/>
      <c r="R46" s="195"/>
      <c r="S46" s="161"/>
      <c r="T46" s="181"/>
    </row>
    <row r="47" spans="1:20" ht="13.8" thickBot="1" x14ac:dyDescent="0.3">
      <c r="A47" s="234">
        <v>5420</v>
      </c>
      <c r="B47" s="162" t="s">
        <v>43</v>
      </c>
      <c r="C47" s="163">
        <v>7536.34</v>
      </c>
      <c r="D47" s="163">
        <v>4635.58</v>
      </c>
      <c r="E47" s="163">
        <v>4881.71</v>
      </c>
      <c r="F47" s="99"/>
      <c r="G47" s="99"/>
      <c r="H47" s="99"/>
      <c r="I47" s="99"/>
      <c r="J47" s="99"/>
      <c r="K47" s="99"/>
      <c r="L47" s="99"/>
      <c r="M47" s="159">
        <f>O24</f>
        <v>9000</v>
      </c>
      <c r="N47" s="178">
        <f>+Q24</f>
        <v>13000</v>
      </c>
      <c r="O47" s="179">
        <f t="shared" si="7"/>
        <v>4000</v>
      </c>
      <c r="P47" s="166">
        <f t="shared" si="8"/>
        <v>0.44440000000000002</v>
      </c>
      <c r="Q47" s="160" t="s">
        <v>301</v>
      </c>
      <c r="R47" s="195"/>
      <c r="S47" s="161"/>
      <c r="T47" s="181"/>
    </row>
    <row r="48" spans="1:20" x14ac:dyDescent="0.25">
      <c r="A48" s="219"/>
      <c r="B48" s="3"/>
      <c r="C48" s="18"/>
      <c r="D48" s="18"/>
      <c r="E48" s="18"/>
      <c r="F48" s="18"/>
      <c r="G48" s="18"/>
      <c r="H48" s="99"/>
      <c r="I48" s="99"/>
      <c r="J48" s="99"/>
      <c r="K48" s="99"/>
      <c r="L48" s="99"/>
      <c r="M48" s="18"/>
      <c r="N48" s="18"/>
      <c r="O48" s="18"/>
      <c r="P48" s="20"/>
      <c r="Q48" s="18"/>
      <c r="R48" s="18"/>
      <c r="S48" s="18"/>
      <c r="T48" s="18"/>
    </row>
    <row r="49" spans="1:20" x14ac:dyDescent="0.25">
      <c r="A49" s="219"/>
      <c r="B49" s="3" t="s">
        <v>39</v>
      </c>
      <c r="C49" s="18"/>
      <c r="D49" s="18"/>
      <c r="E49" s="18"/>
      <c r="F49" s="18"/>
      <c r="G49" s="18"/>
      <c r="H49" s="99"/>
      <c r="I49" s="99"/>
      <c r="J49" s="99"/>
      <c r="K49" s="99"/>
      <c r="L49" s="99"/>
      <c r="M49" s="209">
        <f>SUM(M34:M47)</f>
        <v>624338</v>
      </c>
      <c r="N49" s="209">
        <f>SUM(N34:N47)</f>
        <v>647221</v>
      </c>
      <c r="O49" s="20">
        <f>+N49-M49</f>
        <v>22883</v>
      </c>
      <c r="P49" s="210">
        <f>IF(M49+N49&lt;&gt;0,IF(M49&lt;&gt;0,IF(O49&lt;&gt;0,ROUND((+O49/M49),4),""),1),"")</f>
        <v>3.6700000000000003E-2</v>
      </c>
      <c r="Q49" s="18"/>
      <c r="R49" s="18"/>
      <c r="S49" s="18"/>
      <c r="T49" s="18"/>
    </row>
    <row r="50" spans="1:20" x14ac:dyDescent="0.25">
      <c r="A50" s="219"/>
      <c r="B50" s="3"/>
      <c r="C50" s="18"/>
      <c r="D50" s="18"/>
      <c r="E50" s="18"/>
      <c r="F50" s="18"/>
      <c r="G50" s="18"/>
      <c r="H50" s="18"/>
      <c r="I50" s="18"/>
      <c r="J50" s="18"/>
      <c r="K50" s="18"/>
      <c r="L50" s="18"/>
      <c r="M50" s="18"/>
      <c r="N50" s="18"/>
      <c r="O50" s="18"/>
      <c r="P50" s="20"/>
      <c r="Q50" s="18"/>
      <c r="R50" s="18"/>
      <c r="S50" s="18"/>
      <c r="T50" s="18"/>
    </row>
    <row r="51" spans="1:20" x14ac:dyDescent="0.25">
      <c r="A51" s="219"/>
      <c r="B51" s="3"/>
      <c r="C51" s="18"/>
      <c r="D51" s="18"/>
      <c r="E51" s="18"/>
      <c r="F51" s="18"/>
      <c r="G51" s="18"/>
      <c r="H51" s="18"/>
      <c r="I51" s="18"/>
      <c r="J51" s="18"/>
      <c r="K51" s="18"/>
      <c r="L51" s="18"/>
      <c r="M51" s="18"/>
      <c r="N51" s="18"/>
      <c r="O51" s="18"/>
      <c r="P51" s="20"/>
      <c r="Q51" s="18"/>
      <c r="R51" s="18"/>
      <c r="S51" s="18"/>
      <c r="T51" s="18"/>
    </row>
    <row r="52" spans="1:20" x14ac:dyDescent="0.25">
      <c r="A52" s="219"/>
      <c r="B52" s="3"/>
      <c r="C52" s="18"/>
      <c r="D52" s="18"/>
      <c r="E52" s="18"/>
      <c r="F52" s="18"/>
      <c r="G52" s="18"/>
      <c r="H52" s="18"/>
      <c r="I52" s="18"/>
      <c r="J52" s="18"/>
      <c r="K52" s="18"/>
      <c r="L52" s="18"/>
      <c r="M52" s="18"/>
      <c r="N52" s="18"/>
      <c r="O52" s="18"/>
      <c r="P52" s="20"/>
      <c r="Q52" s="18"/>
      <c r="R52" s="18"/>
      <c r="S52" s="18"/>
      <c r="T52" s="18"/>
    </row>
    <row r="53" spans="1:20" x14ac:dyDescent="0.25">
      <c r="A53" s="219"/>
      <c r="B53" s="3"/>
      <c r="C53" s="18"/>
      <c r="D53" s="18"/>
      <c r="E53" s="18"/>
      <c r="F53" s="18"/>
      <c r="G53" s="18"/>
      <c r="H53" s="18"/>
      <c r="I53" s="18"/>
      <c r="J53" s="18"/>
      <c r="K53" s="18"/>
      <c r="L53" s="18"/>
      <c r="M53" s="18"/>
      <c r="N53" s="18"/>
      <c r="O53" s="18"/>
      <c r="P53" s="20"/>
      <c r="Q53" s="18"/>
      <c r="R53" s="18"/>
      <c r="S53" s="18"/>
      <c r="T53" s="18"/>
    </row>
    <row r="54" spans="1:20" x14ac:dyDescent="0.25">
      <c r="A54" s="219"/>
      <c r="B54" s="3"/>
      <c r="C54" s="18"/>
      <c r="D54" s="18"/>
      <c r="E54" s="18"/>
      <c r="F54" s="18"/>
      <c r="G54" s="18"/>
      <c r="H54" s="18"/>
      <c r="I54" s="18"/>
      <c r="J54" s="18"/>
      <c r="K54" s="18"/>
      <c r="L54" s="18"/>
      <c r="M54" s="18"/>
      <c r="N54" s="18"/>
      <c r="O54" s="18"/>
      <c r="P54" s="20"/>
      <c r="Q54" s="18"/>
      <c r="R54" s="18"/>
      <c r="S54" s="18"/>
      <c r="T54" s="18"/>
    </row>
    <row r="55" spans="1:20" x14ac:dyDescent="0.25">
      <c r="A55" s="219"/>
      <c r="B55" s="3"/>
      <c r="C55" s="18"/>
      <c r="D55" s="18"/>
      <c r="E55" s="18"/>
      <c r="F55" s="18"/>
      <c r="G55" s="18"/>
      <c r="H55" s="18"/>
      <c r="I55" s="18"/>
      <c r="J55" s="18"/>
      <c r="K55" s="18"/>
      <c r="L55" s="18"/>
      <c r="M55" s="18"/>
      <c r="N55" s="18"/>
      <c r="O55" s="18"/>
      <c r="P55" s="20"/>
      <c r="Q55" s="18"/>
      <c r="R55" s="18"/>
      <c r="S55" s="18"/>
      <c r="T55" s="18"/>
    </row>
    <row r="56" spans="1:20" x14ac:dyDescent="0.25">
      <c r="A56" s="219"/>
      <c r="B56" s="3"/>
      <c r="C56" s="18"/>
      <c r="D56" s="18"/>
      <c r="E56" s="18"/>
      <c r="F56" s="18"/>
      <c r="G56" s="18"/>
      <c r="H56" s="18"/>
      <c r="I56" s="18"/>
      <c r="J56" s="18"/>
      <c r="K56" s="18"/>
      <c r="L56" s="18"/>
      <c r="M56" s="18"/>
      <c r="N56" s="18"/>
      <c r="O56" s="18"/>
      <c r="P56" s="20"/>
      <c r="Q56" s="18"/>
      <c r="R56" s="18"/>
      <c r="S56" s="18"/>
      <c r="T56" s="18"/>
    </row>
    <row r="57" spans="1:20" x14ac:dyDescent="0.25">
      <c r="A57" s="219"/>
      <c r="B57" s="3"/>
      <c r="C57" s="18"/>
      <c r="D57" s="18"/>
      <c r="E57" s="18"/>
      <c r="F57" s="18"/>
      <c r="G57" s="18"/>
      <c r="H57" s="18"/>
      <c r="I57" s="18"/>
      <c r="J57" s="18"/>
      <c r="K57" s="18"/>
      <c r="L57" s="18"/>
      <c r="M57" s="18"/>
      <c r="N57" s="18"/>
      <c r="O57" s="18"/>
      <c r="P57" s="20"/>
      <c r="Q57" s="18"/>
      <c r="R57" s="18"/>
      <c r="S57" s="18"/>
      <c r="T57" s="18"/>
    </row>
    <row r="58" spans="1:20" x14ac:dyDescent="0.25">
      <c r="A58" s="219"/>
      <c r="B58" s="3"/>
      <c r="C58" s="18"/>
      <c r="D58" s="18"/>
      <c r="E58" s="18"/>
      <c r="F58" s="18"/>
      <c r="G58" s="18"/>
      <c r="H58" s="18"/>
      <c r="I58" s="18"/>
      <c r="J58" s="18"/>
      <c r="K58" s="18"/>
      <c r="L58" s="18"/>
      <c r="M58" s="18"/>
      <c r="N58" s="18"/>
      <c r="O58" s="18"/>
      <c r="P58" s="20"/>
      <c r="Q58" s="18"/>
      <c r="R58" s="18"/>
      <c r="S58" s="18"/>
      <c r="T58" s="18"/>
    </row>
    <row r="59" spans="1:20" x14ac:dyDescent="0.25">
      <c r="A59" s="219"/>
      <c r="B59" s="3"/>
      <c r="C59" s="18"/>
      <c r="D59" s="18"/>
      <c r="E59" s="18"/>
      <c r="F59" s="18"/>
      <c r="G59" s="18"/>
      <c r="H59" s="18"/>
      <c r="I59" s="18"/>
      <c r="J59" s="18"/>
      <c r="K59" s="18"/>
      <c r="L59" s="18"/>
      <c r="M59" s="18"/>
      <c r="N59" s="18"/>
      <c r="O59" s="18"/>
      <c r="P59" s="20"/>
      <c r="Q59" s="18"/>
      <c r="R59" s="18"/>
      <c r="S59" s="18"/>
      <c r="T59" s="18"/>
    </row>
    <row r="60" spans="1:20" x14ac:dyDescent="0.25">
      <c r="A60" s="219"/>
      <c r="B60" s="3"/>
      <c r="C60" s="18"/>
      <c r="D60" s="18"/>
      <c r="E60" s="18"/>
      <c r="F60" s="18"/>
      <c r="G60" s="18"/>
      <c r="H60" s="18"/>
      <c r="I60" s="18"/>
      <c r="J60" s="18"/>
      <c r="K60" s="18"/>
      <c r="L60" s="18"/>
      <c r="M60" s="18"/>
      <c r="N60" s="18"/>
      <c r="O60" s="18"/>
      <c r="P60" s="20"/>
      <c r="Q60" s="18"/>
      <c r="R60" s="18"/>
      <c r="S60" s="18"/>
      <c r="T60" s="18"/>
    </row>
    <row r="61" spans="1:20" x14ac:dyDescent="0.25">
      <c r="A61" s="219"/>
      <c r="B61" s="3"/>
      <c r="C61" s="18"/>
      <c r="D61" s="18"/>
      <c r="E61" s="18"/>
      <c r="F61" s="18"/>
      <c r="G61" s="18"/>
      <c r="H61" s="18"/>
      <c r="I61" s="18"/>
      <c r="J61" s="18"/>
      <c r="K61" s="18"/>
      <c r="L61" s="18"/>
      <c r="M61" s="18"/>
      <c r="N61" s="18"/>
      <c r="O61" s="18"/>
      <c r="P61" s="20"/>
      <c r="Q61" s="18"/>
      <c r="R61" s="18"/>
      <c r="S61" s="18"/>
      <c r="T61" s="18"/>
    </row>
    <row r="62" spans="1:20" x14ac:dyDescent="0.25">
      <c r="A62" s="219"/>
      <c r="B62" s="3"/>
      <c r="C62" s="18"/>
      <c r="D62" s="18"/>
      <c r="E62" s="18"/>
      <c r="F62" s="18"/>
      <c r="G62" s="18"/>
      <c r="H62" s="18"/>
      <c r="I62" s="18"/>
      <c r="J62" s="18"/>
      <c r="K62" s="18"/>
      <c r="L62" s="18"/>
      <c r="M62" s="18"/>
      <c r="N62" s="18"/>
      <c r="O62" s="18"/>
      <c r="P62" s="20"/>
      <c r="Q62" s="18"/>
      <c r="R62" s="18"/>
      <c r="S62" s="18"/>
      <c r="T62" s="18"/>
    </row>
    <row r="63" spans="1:20" x14ac:dyDescent="0.25">
      <c r="A63" s="219"/>
      <c r="B63" s="3"/>
      <c r="C63" s="18"/>
      <c r="D63" s="18"/>
      <c r="E63" s="18"/>
      <c r="F63" s="18"/>
      <c r="G63" s="18"/>
      <c r="H63" s="18"/>
      <c r="I63" s="18"/>
      <c r="J63" s="18"/>
      <c r="K63" s="18"/>
      <c r="L63" s="18"/>
      <c r="M63" s="18"/>
      <c r="N63" s="18"/>
      <c r="O63" s="18"/>
      <c r="P63" s="20"/>
      <c r="Q63" s="18"/>
      <c r="R63" s="18"/>
      <c r="S63" s="18"/>
      <c r="T63" s="18"/>
    </row>
    <row r="64" spans="1:20" x14ac:dyDescent="0.25">
      <c r="A64" s="219"/>
      <c r="B64" s="3"/>
      <c r="C64" s="18"/>
      <c r="D64" s="18"/>
      <c r="E64" s="18"/>
      <c r="F64" s="18"/>
      <c r="G64" s="18"/>
      <c r="H64" s="18"/>
      <c r="I64" s="18"/>
      <c r="J64" s="18"/>
      <c r="K64" s="18"/>
      <c r="L64" s="18"/>
      <c r="M64" s="18"/>
      <c r="N64" s="18"/>
      <c r="O64" s="18"/>
      <c r="P64" s="20"/>
      <c r="Q64" s="18"/>
      <c r="R64" s="18"/>
      <c r="S64" s="18"/>
      <c r="T64" s="18"/>
    </row>
    <row r="65" spans="1:20" x14ac:dyDescent="0.25">
      <c r="A65" s="219"/>
      <c r="B65" s="3"/>
      <c r="C65" s="18"/>
      <c r="D65" s="18"/>
      <c r="E65" s="18"/>
      <c r="F65" s="18"/>
      <c r="G65" s="18"/>
      <c r="H65" s="18"/>
      <c r="I65" s="18"/>
      <c r="J65" s="18"/>
      <c r="K65" s="18"/>
      <c r="L65" s="18"/>
      <c r="M65" s="18"/>
      <c r="N65" s="18"/>
      <c r="O65" s="18"/>
      <c r="P65" s="20"/>
      <c r="Q65" s="18"/>
      <c r="R65" s="18"/>
      <c r="S65" s="18"/>
      <c r="T65" s="18"/>
    </row>
    <row r="66" spans="1:20" x14ac:dyDescent="0.25">
      <c r="A66" s="219"/>
      <c r="B66" s="3"/>
      <c r="C66" s="18"/>
      <c r="D66" s="18"/>
      <c r="E66" s="18"/>
      <c r="F66" s="18"/>
      <c r="G66" s="18"/>
      <c r="H66" s="18"/>
      <c r="I66" s="18"/>
      <c r="J66" s="18"/>
      <c r="K66" s="18"/>
      <c r="L66" s="18"/>
      <c r="M66" s="18"/>
      <c r="N66" s="18"/>
      <c r="O66" s="18"/>
      <c r="P66" s="20"/>
      <c r="Q66" s="18"/>
      <c r="R66" s="18"/>
      <c r="S66" s="18"/>
      <c r="T66" s="18"/>
    </row>
    <row r="67" spans="1:20" x14ac:dyDescent="0.25">
      <c r="A67" s="219"/>
      <c r="B67" s="3"/>
      <c r="C67" s="18"/>
      <c r="D67" s="18"/>
      <c r="E67" s="18"/>
      <c r="F67" s="18"/>
      <c r="G67" s="18"/>
      <c r="H67" s="18"/>
      <c r="I67" s="18"/>
      <c r="J67" s="18"/>
      <c r="K67" s="18"/>
      <c r="L67" s="18"/>
      <c r="M67" s="18"/>
      <c r="N67" s="18"/>
      <c r="O67" s="18"/>
      <c r="P67" s="3"/>
      <c r="Q67" s="18"/>
      <c r="R67" s="18"/>
      <c r="S67" s="18"/>
      <c r="T67" s="18"/>
    </row>
    <row r="68" spans="1:20" x14ac:dyDescent="0.25">
      <c r="A68" s="219"/>
      <c r="B68" s="3"/>
      <c r="C68" s="18"/>
      <c r="D68" s="18"/>
      <c r="E68" s="18"/>
      <c r="F68" s="18"/>
      <c r="G68" s="18"/>
      <c r="H68" s="18"/>
      <c r="I68" s="18"/>
      <c r="J68" s="18"/>
      <c r="K68" s="18"/>
      <c r="L68" s="18"/>
      <c r="M68" s="18"/>
      <c r="N68" s="18"/>
      <c r="O68" s="18"/>
      <c r="P68" s="3"/>
      <c r="Q68" s="18"/>
      <c r="R68" s="18"/>
      <c r="S68" s="18"/>
      <c r="T68" s="18"/>
    </row>
    <row r="69" spans="1:20" x14ac:dyDescent="0.25">
      <c r="A69" s="219"/>
      <c r="B69" s="3"/>
      <c r="C69" s="18"/>
      <c r="D69" s="18"/>
      <c r="E69" s="18"/>
      <c r="F69" s="18"/>
      <c r="G69" s="18"/>
      <c r="H69" s="18"/>
      <c r="I69" s="18"/>
      <c r="J69" s="18"/>
      <c r="K69" s="18"/>
      <c r="L69" s="18"/>
      <c r="M69" s="18"/>
      <c r="N69" s="18"/>
      <c r="O69" s="18"/>
      <c r="P69" s="3"/>
      <c r="Q69" s="18"/>
      <c r="R69" s="18"/>
      <c r="S69" s="18"/>
      <c r="T69" s="18"/>
    </row>
    <row r="70" spans="1:20" x14ac:dyDescent="0.25">
      <c r="A70" s="219"/>
      <c r="B70" s="3"/>
      <c r="C70" s="18"/>
      <c r="D70" s="18"/>
      <c r="E70" s="18"/>
      <c r="F70" s="18"/>
      <c r="G70" s="18"/>
      <c r="H70" s="18"/>
      <c r="I70" s="18"/>
      <c r="J70" s="18"/>
      <c r="K70" s="18"/>
      <c r="L70" s="18"/>
      <c r="M70" s="18"/>
      <c r="N70" s="18"/>
      <c r="O70" s="18"/>
      <c r="P70" s="3"/>
      <c r="Q70" s="18"/>
      <c r="R70" s="18"/>
      <c r="S70" s="18"/>
      <c r="T70" s="18"/>
    </row>
    <row r="71" spans="1:20" x14ac:dyDescent="0.25">
      <c r="A71" s="219"/>
      <c r="B71" s="3"/>
      <c r="C71" s="18"/>
      <c r="D71" s="18"/>
      <c r="E71" s="18"/>
      <c r="F71" s="18"/>
      <c r="G71" s="18"/>
      <c r="H71" s="18"/>
      <c r="I71" s="18"/>
      <c r="J71" s="18"/>
      <c r="K71" s="18"/>
      <c r="L71" s="18"/>
      <c r="M71" s="18"/>
      <c r="N71" s="18"/>
      <c r="O71" s="18"/>
      <c r="P71" s="3"/>
      <c r="Q71" s="18"/>
      <c r="R71" s="18"/>
      <c r="S71" s="18"/>
      <c r="T71" s="18"/>
    </row>
    <row r="72" spans="1:20" x14ac:dyDescent="0.25">
      <c r="A72" s="219"/>
      <c r="B72" s="3"/>
      <c r="C72" s="18"/>
      <c r="D72" s="18"/>
      <c r="E72" s="18"/>
      <c r="F72" s="18"/>
      <c r="G72" s="18"/>
      <c r="H72" s="18"/>
      <c r="I72" s="18"/>
      <c r="J72" s="18"/>
      <c r="K72" s="18"/>
      <c r="L72" s="18"/>
      <c r="M72" s="18"/>
      <c r="N72" s="18"/>
      <c r="O72" s="18"/>
      <c r="P72" s="3"/>
      <c r="Q72" s="18"/>
      <c r="R72" s="18"/>
      <c r="S72" s="18"/>
      <c r="T72" s="18"/>
    </row>
    <row r="73" spans="1:20" x14ac:dyDescent="0.25">
      <c r="A73" s="219"/>
      <c r="B73" s="3"/>
      <c r="C73" s="18"/>
      <c r="D73" s="18"/>
      <c r="E73" s="18"/>
      <c r="F73" s="18"/>
      <c r="G73" s="18"/>
      <c r="H73" s="18"/>
      <c r="I73" s="18"/>
      <c r="J73" s="18"/>
      <c r="K73" s="18"/>
      <c r="L73" s="18"/>
      <c r="M73" s="18"/>
      <c r="N73" s="18"/>
      <c r="O73" s="18"/>
      <c r="P73" s="3"/>
      <c r="Q73" s="18"/>
      <c r="R73" s="18"/>
      <c r="S73" s="18"/>
      <c r="T73" s="18"/>
    </row>
    <row r="74" spans="1:20" x14ac:dyDescent="0.25">
      <c r="A74" s="219"/>
      <c r="B74" s="3"/>
      <c r="C74" s="18"/>
      <c r="D74" s="18"/>
      <c r="E74" s="18"/>
      <c r="F74" s="18"/>
      <c r="G74" s="18"/>
      <c r="H74" s="18"/>
      <c r="I74" s="18"/>
      <c r="J74" s="18"/>
      <c r="K74" s="18"/>
      <c r="L74" s="18"/>
      <c r="M74" s="18"/>
      <c r="N74" s="18"/>
      <c r="O74" s="18"/>
      <c r="P74" s="3"/>
      <c r="Q74" s="18"/>
      <c r="R74" s="18"/>
      <c r="S74" s="18"/>
      <c r="T74" s="18"/>
    </row>
    <row r="75" spans="1:20" x14ac:dyDescent="0.25">
      <c r="A75" s="219"/>
      <c r="B75" s="3"/>
      <c r="C75" s="18"/>
      <c r="D75" s="18"/>
      <c r="E75" s="18"/>
      <c r="F75" s="18"/>
      <c r="G75" s="18"/>
      <c r="H75" s="18"/>
      <c r="I75" s="18"/>
      <c r="J75" s="18"/>
      <c r="K75" s="18"/>
      <c r="L75" s="18"/>
      <c r="M75" s="18"/>
      <c r="N75" s="18"/>
      <c r="O75" s="18"/>
      <c r="P75" s="3"/>
      <c r="Q75" s="18"/>
      <c r="R75" s="18"/>
      <c r="S75" s="18"/>
      <c r="T75" s="18"/>
    </row>
    <row r="76" spans="1:20" x14ac:dyDescent="0.25">
      <c r="A76" s="219"/>
      <c r="B76" s="3"/>
      <c r="C76" s="18"/>
      <c r="D76" s="18"/>
      <c r="E76" s="18"/>
      <c r="F76" s="18"/>
      <c r="G76" s="18"/>
      <c r="H76" s="18"/>
      <c r="I76" s="18"/>
      <c r="J76" s="18"/>
      <c r="K76" s="18"/>
      <c r="L76" s="18"/>
      <c r="M76" s="18"/>
      <c r="N76" s="18"/>
      <c r="O76" s="18"/>
      <c r="P76" s="3"/>
      <c r="Q76" s="18"/>
      <c r="R76" s="18"/>
      <c r="S76" s="18"/>
      <c r="T76" s="18"/>
    </row>
    <row r="77" spans="1:20" x14ac:dyDescent="0.25">
      <c r="A77" s="219"/>
      <c r="B77" s="3"/>
      <c r="C77" s="18"/>
      <c r="D77" s="18"/>
      <c r="E77" s="18"/>
      <c r="F77" s="18"/>
      <c r="G77" s="18"/>
      <c r="H77" s="18"/>
      <c r="I77" s="18"/>
      <c r="J77" s="18"/>
      <c r="K77" s="18"/>
      <c r="L77" s="18"/>
      <c r="M77" s="18"/>
      <c r="N77" s="18"/>
      <c r="O77" s="18"/>
      <c r="P77" s="3"/>
      <c r="Q77" s="18"/>
      <c r="R77" s="18"/>
      <c r="S77" s="18"/>
      <c r="T77" s="18"/>
    </row>
    <row r="78" spans="1:20" x14ac:dyDescent="0.25">
      <c r="A78" s="219"/>
      <c r="B78" s="3"/>
      <c r="C78" s="18"/>
      <c r="D78" s="18"/>
      <c r="E78" s="18"/>
      <c r="F78" s="18"/>
      <c r="G78" s="18"/>
      <c r="H78" s="18"/>
      <c r="I78" s="18"/>
      <c r="J78" s="18"/>
      <c r="K78" s="18"/>
      <c r="L78" s="18"/>
      <c r="M78" s="18"/>
      <c r="N78" s="18"/>
      <c r="O78" s="18"/>
      <c r="P78" s="3"/>
      <c r="Q78" s="18"/>
      <c r="R78" s="18"/>
      <c r="S78" s="18"/>
      <c r="T78" s="18"/>
    </row>
    <row r="79" spans="1:20" x14ac:dyDescent="0.25">
      <c r="A79" s="219"/>
      <c r="B79" s="3"/>
      <c r="C79" s="18"/>
      <c r="D79" s="18"/>
      <c r="E79" s="18"/>
      <c r="F79" s="18"/>
      <c r="G79" s="18"/>
      <c r="H79" s="18"/>
      <c r="I79" s="18"/>
      <c r="J79" s="18"/>
      <c r="K79" s="18"/>
      <c r="L79" s="18"/>
      <c r="M79" s="18"/>
      <c r="N79" s="18"/>
      <c r="O79" s="18"/>
      <c r="P79" s="3"/>
      <c r="Q79" s="18"/>
      <c r="R79" s="18"/>
      <c r="S79" s="18"/>
      <c r="T79" s="18"/>
    </row>
    <row r="80" spans="1:20" x14ac:dyDescent="0.25">
      <c r="A80" s="219"/>
      <c r="B80" s="3"/>
      <c r="C80" s="18"/>
      <c r="D80" s="18"/>
      <c r="E80" s="18"/>
      <c r="F80" s="18"/>
      <c r="G80" s="18"/>
      <c r="H80" s="18"/>
      <c r="I80" s="18"/>
      <c r="J80" s="18"/>
      <c r="K80" s="18"/>
      <c r="L80" s="18"/>
      <c r="M80" s="18"/>
      <c r="N80" s="18"/>
      <c r="O80" s="18"/>
      <c r="P80" s="3"/>
      <c r="Q80" s="18"/>
      <c r="R80" s="18"/>
      <c r="S80" s="18"/>
      <c r="T80" s="18"/>
    </row>
    <row r="81" spans="1:20" x14ac:dyDescent="0.25">
      <c r="A81" s="219"/>
      <c r="B81" s="3"/>
      <c r="C81" s="18"/>
      <c r="D81" s="18"/>
      <c r="E81" s="18"/>
      <c r="F81" s="18"/>
      <c r="G81" s="18"/>
      <c r="H81" s="18"/>
      <c r="I81" s="18"/>
      <c r="J81" s="18"/>
      <c r="K81" s="18"/>
      <c r="L81" s="18"/>
      <c r="M81" s="18"/>
      <c r="N81" s="18"/>
      <c r="O81" s="18"/>
      <c r="P81" s="3"/>
      <c r="Q81" s="18"/>
      <c r="R81" s="18"/>
      <c r="S81" s="18"/>
      <c r="T81" s="18"/>
    </row>
    <row r="82" spans="1:20" x14ac:dyDescent="0.25">
      <c r="A82" s="219"/>
      <c r="B82" s="3"/>
      <c r="C82" s="18"/>
      <c r="D82" s="18"/>
      <c r="E82" s="18"/>
      <c r="F82" s="18"/>
      <c r="G82" s="18"/>
      <c r="H82" s="18"/>
      <c r="I82" s="18"/>
      <c r="J82" s="18"/>
      <c r="K82" s="18"/>
      <c r="L82" s="18"/>
      <c r="M82" s="18"/>
      <c r="N82" s="18"/>
      <c r="O82" s="18"/>
      <c r="P82" s="3"/>
      <c r="Q82" s="18"/>
      <c r="R82" s="18"/>
      <c r="S82" s="18"/>
      <c r="T82" s="18"/>
    </row>
    <row r="83" spans="1:20" x14ac:dyDescent="0.25">
      <c r="A83" s="219"/>
      <c r="B83" s="3"/>
      <c r="C83" s="18"/>
      <c r="D83" s="18"/>
      <c r="E83" s="18"/>
      <c r="F83" s="18"/>
      <c r="G83" s="18"/>
      <c r="H83" s="18"/>
      <c r="I83" s="18"/>
      <c r="J83" s="18"/>
      <c r="K83" s="18"/>
      <c r="L83" s="18"/>
      <c r="M83" s="18"/>
      <c r="N83" s="18"/>
      <c r="O83" s="18"/>
      <c r="P83" s="3"/>
      <c r="Q83" s="18"/>
      <c r="R83" s="18"/>
      <c r="S83" s="18"/>
      <c r="T83" s="18"/>
    </row>
    <row r="84" spans="1:20" x14ac:dyDescent="0.25">
      <c r="A84" s="219"/>
      <c r="B84" s="3"/>
      <c r="C84" s="18"/>
      <c r="D84" s="18"/>
      <c r="E84" s="18"/>
      <c r="F84" s="18"/>
      <c r="G84" s="18"/>
      <c r="H84" s="18"/>
      <c r="I84" s="18"/>
      <c r="J84" s="18"/>
      <c r="K84" s="18"/>
      <c r="L84" s="18"/>
      <c r="M84" s="18"/>
      <c r="N84" s="18"/>
      <c r="O84" s="18"/>
      <c r="P84" s="3"/>
      <c r="Q84" s="18"/>
      <c r="R84" s="18"/>
      <c r="S84" s="18"/>
      <c r="T84" s="18"/>
    </row>
    <row r="85" spans="1:20" x14ac:dyDescent="0.25">
      <c r="A85" s="219"/>
      <c r="B85" s="3"/>
      <c r="C85" s="18"/>
      <c r="D85" s="18"/>
      <c r="E85" s="18"/>
      <c r="F85" s="18"/>
      <c r="G85" s="18"/>
      <c r="H85" s="18"/>
      <c r="I85" s="18"/>
      <c r="J85" s="18"/>
      <c r="K85" s="18"/>
      <c r="L85" s="18"/>
      <c r="M85" s="18"/>
      <c r="N85" s="18"/>
      <c r="O85" s="18"/>
      <c r="P85" s="3"/>
      <c r="Q85" s="18"/>
      <c r="R85" s="18"/>
      <c r="S85" s="18"/>
      <c r="T85" s="18"/>
    </row>
    <row r="86" spans="1:20" x14ac:dyDescent="0.25">
      <c r="A86" s="219"/>
      <c r="B86" s="3"/>
      <c r="C86" s="18"/>
      <c r="D86" s="18"/>
      <c r="E86" s="18"/>
      <c r="F86" s="18"/>
      <c r="G86" s="18"/>
      <c r="H86" s="18"/>
      <c r="I86" s="18"/>
      <c r="J86" s="18"/>
      <c r="K86" s="18"/>
      <c r="L86" s="18"/>
      <c r="M86" s="18"/>
      <c r="N86" s="18"/>
      <c r="O86" s="18"/>
      <c r="P86" s="3"/>
      <c r="Q86" s="18"/>
      <c r="R86" s="18"/>
      <c r="S86" s="18"/>
      <c r="T86" s="18"/>
    </row>
    <row r="87" spans="1:20" x14ac:dyDescent="0.25">
      <c r="A87" s="219"/>
      <c r="B87" s="3"/>
      <c r="C87" s="18"/>
      <c r="D87" s="18"/>
      <c r="E87" s="18"/>
      <c r="F87" s="18"/>
      <c r="G87" s="18"/>
      <c r="H87" s="18"/>
      <c r="I87" s="18"/>
      <c r="J87" s="18"/>
      <c r="K87" s="18"/>
      <c r="L87" s="18"/>
      <c r="M87" s="18"/>
      <c r="N87" s="18"/>
      <c r="O87" s="18"/>
      <c r="P87" s="3"/>
      <c r="Q87" s="18"/>
      <c r="R87" s="18"/>
      <c r="S87" s="18"/>
      <c r="T87" s="18"/>
    </row>
    <row r="88" spans="1:20" x14ac:dyDescent="0.25">
      <c r="A88" s="219"/>
      <c r="B88" s="3"/>
      <c r="C88" s="18"/>
      <c r="D88" s="18"/>
      <c r="E88" s="18"/>
      <c r="F88" s="18"/>
      <c r="G88" s="18"/>
      <c r="H88" s="18"/>
      <c r="I88" s="18"/>
      <c r="J88" s="18"/>
      <c r="K88" s="18"/>
      <c r="L88" s="18"/>
      <c r="M88" s="18"/>
      <c r="N88" s="18"/>
      <c r="O88" s="18"/>
      <c r="P88" s="3"/>
      <c r="Q88" s="18"/>
      <c r="R88" s="18"/>
      <c r="S88" s="18"/>
      <c r="T88" s="18"/>
    </row>
    <row r="89" spans="1:20" x14ac:dyDescent="0.25">
      <c r="A89" s="219"/>
      <c r="B89" s="3"/>
      <c r="C89" s="18"/>
      <c r="D89" s="18"/>
      <c r="E89" s="18"/>
      <c r="F89" s="18"/>
      <c r="G89" s="18"/>
      <c r="H89" s="18"/>
      <c r="I89" s="18"/>
      <c r="J89" s="18"/>
      <c r="K89" s="18"/>
      <c r="L89" s="18"/>
      <c r="M89" s="18"/>
      <c r="N89" s="18"/>
      <c r="O89" s="18"/>
      <c r="P89" s="3"/>
      <c r="Q89" s="18"/>
      <c r="R89" s="18"/>
      <c r="S89" s="18"/>
      <c r="T89" s="18"/>
    </row>
    <row r="90" spans="1:20" x14ac:dyDescent="0.25">
      <c r="A90" s="219"/>
      <c r="B90" s="3"/>
      <c r="C90" s="18"/>
      <c r="D90" s="18"/>
      <c r="E90" s="18"/>
      <c r="F90" s="18"/>
      <c r="G90" s="18"/>
      <c r="H90" s="18"/>
      <c r="I90" s="18"/>
      <c r="J90" s="18"/>
      <c r="K90" s="18"/>
      <c r="L90" s="18"/>
      <c r="M90" s="18"/>
      <c r="N90" s="18"/>
      <c r="O90" s="18"/>
      <c r="P90" s="3"/>
      <c r="Q90" s="18"/>
      <c r="R90" s="18"/>
      <c r="S90" s="18"/>
      <c r="T90" s="18"/>
    </row>
    <row r="91" spans="1:20" x14ac:dyDescent="0.25">
      <c r="A91" s="219"/>
      <c r="B91" s="3"/>
      <c r="C91" s="18"/>
      <c r="D91" s="18"/>
      <c r="E91" s="18"/>
      <c r="F91" s="18"/>
      <c r="G91" s="18"/>
      <c r="H91" s="18"/>
      <c r="I91" s="18"/>
      <c r="J91" s="18"/>
      <c r="K91" s="18"/>
      <c r="L91" s="18"/>
      <c r="M91" s="18"/>
      <c r="N91" s="18"/>
      <c r="O91" s="18"/>
      <c r="P91" s="3"/>
      <c r="Q91" s="18"/>
      <c r="R91" s="18"/>
      <c r="S91" s="18"/>
      <c r="T91" s="18"/>
    </row>
    <row r="92" spans="1:20" x14ac:dyDescent="0.25">
      <c r="A92" s="219"/>
      <c r="B92" s="3"/>
      <c r="C92" s="18"/>
      <c r="D92" s="18"/>
      <c r="E92" s="18"/>
      <c r="F92" s="18"/>
      <c r="G92" s="18"/>
      <c r="H92" s="18"/>
      <c r="I92" s="18"/>
      <c r="J92" s="18"/>
      <c r="K92" s="18"/>
      <c r="L92" s="18"/>
      <c r="M92" s="18"/>
      <c r="N92" s="18"/>
      <c r="O92" s="18"/>
      <c r="P92" s="3"/>
      <c r="Q92" s="18"/>
      <c r="R92" s="18"/>
      <c r="S92" s="18"/>
      <c r="T92" s="18"/>
    </row>
    <row r="93" spans="1:20" x14ac:dyDescent="0.25">
      <c r="A93" s="219"/>
      <c r="B93" s="3"/>
      <c r="C93" s="18"/>
      <c r="D93" s="18"/>
      <c r="E93" s="18"/>
      <c r="F93" s="18"/>
      <c r="G93" s="18"/>
      <c r="H93" s="18"/>
      <c r="I93" s="18"/>
      <c r="J93" s="18"/>
      <c r="K93" s="18"/>
      <c r="L93" s="18"/>
      <c r="M93" s="18"/>
      <c r="N93" s="18"/>
      <c r="O93" s="18"/>
      <c r="P93" s="3"/>
      <c r="Q93" s="18"/>
      <c r="R93" s="18"/>
      <c r="S93" s="18"/>
      <c r="T93" s="18"/>
    </row>
    <row r="94" spans="1:20" x14ac:dyDescent="0.25">
      <c r="A94" s="219"/>
      <c r="B94" s="3"/>
      <c r="C94" s="18"/>
      <c r="D94" s="18"/>
      <c r="E94" s="18"/>
      <c r="F94" s="18"/>
      <c r="G94" s="18"/>
      <c r="H94" s="18"/>
      <c r="I94" s="18"/>
      <c r="J94" s="18"/>
      <c r="K94" s="18"/>
      <c r="L94" s="18"/>
      <c r="M94" s="18"/>
      <c r="N94" s="18"/>
      <c r="O94" s="18"/>
      <c r="P94" s="3"/>
      <c r="Q94" s="18"/>
      <c r="R94" s="18"/>
      <c r="S94" s="18"/>
      <c r="T94" s="18"/>
    </row>
    <row r="95" spans="1:20" x14ac:dyDescent="0.25">
      <c r="A95" s="219"/>
      <c r="B95" s="3"/>
      <c r="C95" s="18"/>
      <c r="D95" s="18"/>
      <c r="E95" s="18"/>
      <c r="F95" s="18"/>
      <c r="G95" s="18"/>
      <c r="H95" s="18"/>
      <c r="I95" s="18"/>
      <c r="J95" s="18"/>
      <c r="K95" s="18"/>
      <c r="L95" s="18"/>
      <c r="M95" s="18"/>
      <c r="N95" s="18"/>
      <c r="O95" s="18"/>
      <c r="P95" s="3"/>
      <c r="Q95" s="18"/>
      <c r="R95" s="18"/>
      <c r="S95" s="18"/>
      <c r="T95" s="18"/>
    </row>
    <row r="96" spans="1:20" x14ac:dyDescent="0.25">
      <c r="A96" s="219"/>
      <c r="B96" s="3"/>
      <c r="C96" s="18"/>
      <c r="D96" s="18"/>
      <c r="E96" s="18"/>
      <c r="F96" s="18"/>
      <c r="G96" s="18"/>
      <c r="H96" s="18"/>
      <c r="I96" s="18"/>
      <c r="J96" s="18"/>
      <c r="K96" s="18"/>
      <c r="L96" s="18"/>
      <c r="M96" s="18"/>
      <c r="N96" s="18"/>
      <c r="O96" s="18"/>
      <c r="P96" s="3"/>
      <c r="Q96" s="18"/>
      <c r="R96" s="18"/>
      <c r="S96" s="18"/>
      <c r="T96" s="18"/>
    </row>
    <row r="97" spans="1:20" x14ac:dyDescent="0.25">
      <c r="A97" s="219"/>
      <c r="B97" s="3"/>
      <c r="C97" s="18"/>
      <c r="D97" s="18"/>
      <c r="E97" s="18"/>
      <c r="F97" s="18"/>
      <c r="G97" s="18"/>
      <c r="H97" s="18"/>
      <c r="I97" s="18"/>
      <c r="J97" s="18"/>
      <c r="K97" s="18"/>
      <c r="L97" s="18"/>
      <c r="M97" s="18"/>
      <c r="N97" s="18"/>
      <c r="O97" s="18"/>
      <c r="P97" s="3"/>
      <c r="Q97" s="18"/>
      <c r="R97" s="18"/>
      <c r="S97" s="18"/>
      <c r="T97" s="18"/>
    </row>
    <row r="98" spans="1:20" x14ac:dyDescent="0.25">
      <c r="A98" s="219"/>
      <c r="B98" s="3"/>
      <c r="C98" s="18"/>
      <c r="D98" s="18"/>
      <c r="E98" s="18"/>
      <c r="F98" s="18"/>
      <c r="G98" s="18"/>
      <c r="H98" s="18"/>
      <c r="I98" s="18"/>
      <c r="J98" s="18"/>
      <c r="K98" s="18"/>
      <c r="L98" s="18"/>
      <c r="M98" s="18"/>
      <c r="N98" s="18"/>
      <c r="O98" s="18"/>
      <c r="P98" s="3"/>
      <c r="Q98" s="18"/>
      <c r="R98" s="18"/>
      <c r="S98" s="18"/>
      <c r="T98" s="18"/>
    </row>
    <row r="99" spans="1:20" x14ac:dyDescent="0.25">
      <c r="A99" s="219"/>
      <c r="B99" s="3"/>
      <c r="C99" s="18"/>
      <c r="D99" s="18"/>
      <c r="E99" s="18"/>
      <c r="F99" s="18"/>
      <c r="G99" s="18"/>
      <c r="H99" s="18"/>
      <c r="I99" s="18"/>
      <c r="J99" s="18"/>
      <c r="K99" s="18"/>
      <c r="L99" s="18"/>
      <c r="M99" s="18"/>
      <c r="N99" s="18"/>
      <c r="O99" s="18"/>
      <c r="P99" s="3"/>
      <c r="Q99" s="18"/>
      <c r="R99" s="18"/>
      <c r="S99" s="18"/>
      <c r="T99" s="18"/>
    </row>
    <row r="100" spans="1:20" x14ac:dyDescent="0.25">
      <c r="A100" s="219"/>
      <c r="B100" s="3"/>
      <c r="C100" s="18"/>
      <c r="D100" s="18"/>
      <c r="E100" s="18"/>
      <c r="F100" s="18"/>
      <c r="G100" s="18"/>
      <c r="H100" s="18"/>
      <c r="I100" s="18"/>
      <c r="J100" s="18"/>
      <c r="K100" s="18"/>
      <c r="L100" s="18"/>
      <c r="M100" s="18"/>
      <c r="N100" s="18"/>
      <c r="O100" s="18"/>
      <c r="P100" s="3"/>
      <c r="Q100" s="18"/>
      <c r="R100" s="18"/>
      <c r="S100" s="18"/>
      <c r="T100" s="18"/>
    </row>
    <row r="101" spans="1:20" x14ac:dyDescent="0.25">
      <c r="A101" s="219"/>
      <c r="B101" s="3"/>
      <c r="C101" s="18"/>
      <c r="D101" s="18"/>
      <c r="E101" s="18"/>
      <c r="F101" s="18"/>
      <c r="G101" s="18"/>
      <c r="H101" s="18"/>
      <c r="I101" s="18"/>
      <c r="J101" s="18"/>
      <c r="K101" s="18"/>
      <c r="L101" s="18"/>
      <c r="M101" s="18"/>
      <c r="N101" s="18"/>
      <c r="O101" s="18"/>
      <c r="P101" s="3"/>
      <c r="Q101" s="18"/>
      <c r="R101" s="18"/>
      <c r="S101" s="18"/>
      <c r="T101" s="18"/>
    </row>
    <row r="102" spans="1:20" x14ac:dyDescent="0.25">
      <c r="A102" s="219"/>
      <c r="B102" s="3"/>
      <c r="C102" s="18"/>
      <c r="D102" s="18"/>
      <c r="E102" s="18"/>
      <c r="F102" s="18"/>
      <c r="G102" s="18"/>
      <c r="H102" s="18"/>
      <c r="I102" s="18"/>
      <c r="J102" s="18"/>
      <c r="K102" s="18"/>
      <c r="L102" s="18"/>
      <c r="M102" s="18"/>
      <c r="N102" s="18"/>
      <c r="O102" s="18"/>
      <c r="P102" s="3"/>
      <c r="Q102" s="18"/>
      <c r="R102" s="18"/>
      <c r="S102" s="18"/>
      <c r="T102" s="18"/>
    </row>
    <row r="103" spans="1:20" x14ac:dyDescent="0.25">
      <c r="A103" s="219"/>
      <c r="B103" s="3"/>
      <c r="C103" s="18"/>
      <c r="D103" s="18"/>
      <c r="E103" s="18"/>
      <c r="F103" s="18"/>
      <c r="G103" s="18"/>
      <c r="H103" s="18"/>
      <c r="I103" s="18"/>
      <c r="J103" s="18"/>
      <c r="K103" s="18"/>
      <c r="L103" s="18"/>
      <c r="M103" s="18"/>
      <c r="N103" s="18"/>
      <c r="O103" s="18"/>
      <c r="P103" s="3"/>
      <c r="Q103" s="18"/>
      <c r="R103" s="18"/>
      <c r="S103" s="18"/>
      <c r="T103" s="18"/>
    </row>
    <row r="104" spans="1:20" x14ac:dyDescent="0.25">
      <c r="A104" s="219"/>
      <c r="B104" s="3"/>
      <c r="C104" s="18"/>
      <c r="D104" s="18"/>
      <c r="E104" s="18"/>
      <c r="F104" s="18"/>
      <c r="G104" s="18"/>
      <c r="H104" s="18"/>
      <c r="I104" s="18"/>
      <c r="J104" s="18"/>
      <c r="K104" s="18"/>
      <c r="L104" s="18"/>
      <c r="M104" s="18"/>
      <c r="N104" s="18"/>
      <c r="O104" s="18"/>
      <c r="P104" s="3"/>
      <c r="Q104" s="18"/>
      <c r="R104" s="18"/>
      <c r="S104" s="18"/>
      <c r="T104" s="18"/>
    </row>
    <row r="105" spans="1:20" x14ac:dyDescent="0.25">
      <c r="A105" s="219"/>
      <c r="B105" s="3"/>
      <c r="C105" s="18"/>
      <c r="D105" s="18"/>
      <c r="E105" s="18"/>
      <c r="F105" s="18"/>
      <c r="G105" s="18"/>
      <c r="H105" s="18"/>
      <c r="I105" s="18"/>
      <c r="J105" s="18"/>
      <c r="K105" s="18"/>
      <c r="L105" s="18"/>
      <c r="M105" s="18"/>
      <c r="N105" s="18"/>
      <c r="O105" s="18"/>
      <c r="P105" s="3"/>
      <c r="Q105" s="18"/>
      <c r="R105" s="18"/>
      <c r="S105" s="18"/>
      <c r="T105" s="18"/>
    </row>
    <row r="106" spans="1:20" x14ac:dyDescent="0.25">
      <c r="A106" s="219"/>
      <c r="B106" s="3"/>
      <c r="C106" s="18"/>
      <c r="D106" s="18"/>
      <c r="E106" s="18"/>
      <c r="F106" s="18"/>
      <c r="G106" s="18"/>
      <c r="H106" s="18"/>
      <c r="I106" s="18"/>
      <c r="J106" s="18"/>
      <c r="K106" s="18"/>
      <c r="L106" s="18"/>
      <c r="M106" s="18"/>
      <c r="N106" s="18"/>
      <c r="O106" s="18"/>
      <c r="P106" s="3"/>
      <c r="Q106" s="18"/>
      <c r="R106" s="18"/>
      <c r="S106" s="18"/>
      <c r="T106" s="18"/>
    </row>
    <row r="107" spans="1:20" x14ac:dyDescent="0.25">
      <c r="A107" s="219"/>
      <c r="B107" s="3"/>
      <c r="C107" s="18"/>
      <c r="D107" s="18"/>
      <c r="E107" s="18"/>
      <c r="F107" s="18"/>
      <c r="G107" s="18"/>
      <c r="H107" s="18"/>
      <c r="I107" s="18"/>
      <c r="J107" s="18"/>
      <c r="K107" s="18"/>
      <c r="L107" s="18"/>
      <c r="M107" s="18"/>
      <c r="N107" s="18"/>
      <c r="O107" s="18"/>
      <c r="P107" s="3"/>
      <c r="Q107" s="18"/>
      <c r="R107" s="18"/>
      <c r="S107" s="18"/>
      <c r="T107" s="18"/>
    </row>
    <row r="108" spans="1:20" x14ac:dyDescent="0.25">
      <c r="A108" s="219"/>
      <c r="B108" s="3"/>
      <c r="C108" s="18"/>
      <c r="D108" s="18"/>
      <c r="E108" s="18"/>
      <c r="F108" s="18"/>
      <c r="G108" s="18"/>
      <c r="H108" s="18"/>
      <c r="I108" s="18"/>
      <c r="J108" s="18"/>
      <c r="K108" s="18"/>
      <c r="L108" s="18"/>
      <c r="M108" s="18"/>
      <c r="N108" s="18"/>
      <c r="O108" s="18"/>
      <c r="P108" s="3"/>
      <c r="Q108" s="18"/>
      <c r="R108" s="18"/>
      <c r="S108" s="18"/>
      <c r="T108" s="18"/>
    </row>
    <row r="109" spans="1:20" x14ac:dyDescent="0.25">
      <c r="A109" s="219"/>
      <c r="B109" s="3"/>
      <c r="C109" s="18"/>
      <c r="D109" s="18"/>
      <c r="E109" s="18"/>
      <c r="F109" s="18"/>
      <c r="G109" s="18"/>
      <c r="H109" s="18"/>
      <c r="I109" s="18"/>
      <c r="J109" s="18"/>
      <c r="K109" s="18"/>
      <c r="L109" s="18"/>
      <c r="M109" s="18"/>
      <c r="N109" s="18"/>
      <c r="O109" s="18"/>
      <c r="P109" s="3"/>
      <c r="Q109" s="18"/>
      <c r="R109" s="18"/>
      <c r="S109" s="18"/>
      <c r="T109" s="18"/>
    </row>
    <row r="110" spans="1:20" x14ac:dyDescent="0.25">
      <c r="A110" s="219"/>
      <c r="B110" s="3"/>
      <c r="C110" s="18"/>
      <c r="D110" s="18"/>
      <c r="E110" s="18"/>
      <c r="F110" s="18"/>
      <c r="G110" s="18"/>
      <c r="H110" s="18"/>
      <c r="I110" s="18"/>
      <c r="J110" s="18"/>
      <c r="K110" s="18"/>
      <c r="L110" s="18"/>
      <c r="M110" s="18"/>
      <c r="N110" s="18"/>
      <c r="O110" s="18"/>
      <c r="P110" s="3"/>
      <c r="Q110" s="18"/>
      <c r="R110" s="18"/>
      <c r="S110" s="18"/>
      <c r="T110" s="18"/>
    </row>
    <row r="111" spans="1:20" x14ac:dyDescent="0.25">
      <c r="A111" s="219"/>
      <c r="B111" s="3"/>
      <c r="C111" s="18"/>
      <c r="D111" s="18"/>
      <c r="E111" s="18"/>
      <c r="F111" s="18"/>
      <c r="G111" s="18"/>
      <c r="H111" s="18"/>
      <c r="I111" s="18"/>
      <c r="J111" s="18"/>
      <c r="K111" s="18"/>
      <c r="L111" s="18"/>
      <c r="M111" s="18"/>
      <c r="N111" s="18"/>
      <c r="O111" s="18"/>
      <c r="P111" s="3"/>
      <c r="Q111" s="18"/>
      <c r="R111" s="18"/>
      <c r="S111" s="18"/>
      <c r="T111" s="18"/>
    </row>
    <row r="112" spans="1:20" x14ac:dyDescent="0.25">
      <c r="A112" s="219"/>
      <c r="B112" s="3"/>
      <c r="C112" s="18"/>
      <c r="D112" s="18"/>
      <c r="E112" s="18"/>
      <c r="F112" s="18"/>
      <c r="G112" s="18"/>
      <c r="H112" s="18"/>
      <c r="I112" s="18"/>
      <c r="J112" s="18"/>
      <c r="K112" s="18"/>
      <c r="L112" s="18"/>
      <c r="M112" s="18"/>
      <c r="N112" s="18"/>
      <c r="O112" s="18"/>
      <c r="P112" s="3"/>
      <c r="Q112" s="18"/>
      <c r="R112" s="18"/>
      <c r="S112" s="18"/>
      <c r="T112" s="18"/>
    </row>
    <row r="113" spans="1:20" x14ac:dyDescent="0.25">
      <c r="A113" s="219"/>
      <c r="B113" s="3"/>
      <c r="C113" s="18"/>
      <c r="D113" s="18"/>
      <c r="E113" s="18"/>
      <c r="F113" s="18"/>
      <c r="G113" s="18"/>
      <c r="H113" s="18"/>
      <c r="I113" s="18"/>
      <c r="J113" s="18"/>
      <c r="K113" s="18"/>
      <c r="L113" s="18"/>
      <c r="M113" s="18"/>
      <c r="N113" s="18"/>
      <c r="O113" s="18"/>
      <c r="P113" s="3"/>
      <c r="Q113" s="18"/>
      <c r="R113" s="18"/>
      <c r="S113" s="18"/>
      <c r="T113" s="18"/>
    </row>
    <row r="114" spans="1:20" x14ac:dyDescent="0.25">
      <c r="A114" s="219"/>
      <c r="B114" s="3"/>
      <c r="C114" s="18"/>
      <c r="D114" s="18"/>
      <c r="E114" s="18"/>
      <c r="F114" s="18"/>
      <c r="G114" s="18"/>
      <c r="H114" s="18"/>
      <c r="I114" s="18"/>
      <c r="J114" s="18"/>
      <c r="K114" s="18"/>
      <c r="L114" s="18"/>
      <c r="M114" s="18"/>
      <c r="N114" s="18"/>
      <c r="O114" s="18"/>
      <c r="P114" s="3"/>
      <c r="Q114" s="18"/>
      <c r="R114" s="18"/>
      <c r="S114" s="18"/>
      <c r="T114" s="18"/>
    </row>
    <row r="115" spans="1:20" x14ac:dyDescent="0.25">
      <c r="A115" s="219"/>
      <c r="B115" s="3"/>
      <c r="C115" s="18"/>
      <c r="D115" s="18"/>
      <c r="E115" s="18"/>
      <c r="F115" s="18"/>
      <c r="G115" s="18"/>
      <c r="H115" s="18"/>
      <c r="I115" s="18"/>
      <c r="J115" s="18"/>
      <c r="K115" s="18"/>
      <c r="L115" s="18"/>
      <c r="M115" s="18"/>
      <c r="N115" s="18"/>
      <c r="O115" s="18"/>
      <c r="P115" s="3"/>
      <c r="Q115" s="18"/>
      <c r="R115" s="18"/>
      <c r="S115" s="18"/>
      <c r="T115" s="18"/>
    </row>
    <row r="116" spans="1:20" x14ac:dyDescent="0.25">
      <c r="A116" s="219"/>
      <c r="B116" s="3"/>
      <c r="C116" s="18"/>
      <c r="D116" s="18"/>
      <c r="E116" s="18"/>
      <c r="F116" s="18"/>
      <c r="G116" s="18"/>
      <c r="H116" s="18"/>
      <c r="I116" s="18"/>
      <c r="J116" s="18"/>
      <c r="K116" s="18"/>
      <c r="L116" s="18"/>
      <c r="M116" s="18"/>
      <c r="N116" s="18"/>
      <c r="O116" s="18"/>
      <c r="P116" s="3"/>
      <c r="Q116" s="18"/>
      <c r="R116" s="18"/>
      <c r="S116" s="18"/>
      <c r="T116" s="18"/>
    </row>
    <row r="117" spans="1:20" x14ac:dyDescent="0.25">
      <c r="A117" s="219"/>
      <c r="B117" s="3"/>
      <c r="C117" s="18"/>
      <c r="D117" s="18"/>
      <c r="E117" s="18"/>
      <c r="F117" s="18"/>
      <c r="G117" s="18"/>
      <c r="H117" s="18"/>
      <c r="I117" s="18"/>
      <c r="J117" s="18"/>
      <c r="K117" s="18"/>
      <c r="L117" s="18"/>
      <c r="M117" s="18"/>
      <c r="N117" s="18"/>
      <c r="O117" s="18"/>
      <c r="P117" s="3"/>
      <c r="Q117" s="18"/>
      <c r="R117" s="18"/>
      <c r="S117" s="18"/>
      <c r="T117" s="18"/>
    </row>
    <row r="118" spans="1:20" x14ac:dyDescent="0.25">
      <c r="A118" s="219"/>
      <c r="B118" s="3"/>
      <c r="C118" s="18"/>
      <c r="D118" s="18"/>
      <c r="E118" s="18"/>
      <c r="F118" s="18"/>
      <c r="G118" s="18"/>
      <c r="H118" s="18"/>
      <c r="I118" s="18"/>
      <c r="J118" s="18"/>
      <c r="K118" s="18"/>
      <c r="L118" s="18"/>
      <c r="M118" s="18"/>
      <c r="N118" s="18"/>
      <c r="O118" s="18"/>
      <c r="P118" s="3"/>
      <c r="Q118" s="18"/>
      <c r="R118" s="18"/>
      <c r="S118" s="18"/>
      <c r="T118" s="18"/>
    </row>
    <row r="119" spans="1:20" x14ac:dyDescent="0.25">
      <c r="A119" s="219"/>
      <c r="B119" s="3"/>
      <c r="C119" s="18"/>
      <c r="D119" s="18"/>
      <c r="E119" s="18"/>
      <c r="F119" s="18"/>
      <c r="G119" s="18"/>
      <c r="H119" s="18"/>
      <c r="I119" s="18"/>
      <c r="J119" s="18"/>
      <c r="K119" s="18"/>
      <c r="L119" s="18"/>
      <c r="M119" s="18"/>
      <c r="N119" s="18"/>
      <c r="O119" s="18"/>
      <c r="P119" s="3"/>
      <c r="Q119" s="18"/>
      <c r="R119" s="18"/>
      <c r="S119" s="18"/>
      <c r="T119" s="18"/>
    </row>
    <row r="120" spans="1:20" x14ac:dyDescent="0.25">
      <c r="A120" s="219"/>
      <c r="B120" s="3"/>
      <c r="C120" s="18"/>
      <c r="D120" s="18"/>
      <c r="E120" s="18"/>
      <c r="F120" s="18"/>
      <c r="G120" s="18"/>
      <c r="H120" s="18"/>
      <c r="I120" s="18"/>
      <c r="J120" s="18"/>
      <c r="K120" s="18"/>
      <c r="L120" s="18"/>
      <c r="M120" s="18"/>
      <c r="N120" s="18"/>
      <c r="O120" s="18"/>
      <c r="P120" s="3"/>
      <c r="Q120" s="18"/>
      <c r="R120" s="18"/>
      <c r="S120" s="18"/>
      <c r="T120" s="18"/>
    </row>
    <row r="121" spans="1:20" x14ac:dyDescent="0.25">
      <c r="A121" s="219"/>
      <c r="B121" s="3"/>
      <c r="C121" s="18"/>
      <c r="D121" s="18"/>
      <c r="E121" s="18"/>
      <c r="F121" s="18"/>
      <c r="G121" s="18"/>
      <c r="H121" s="18"/>
      <c r="I121" s="18"/>
      <c r="J121" s="18"/>
      <c r="K121" s="18"/>
      <c r="L121" s="18"/>
      <c r="M121" s="18"/>
      <c r="N121" s="18"/>
      <c r="O121" s="18"/>
      <c r="P121" s="3"/>
      <c r="Q121" s="18"/>
      <c r="R121" s="18"/>
      <c r="S121" s="18"/>
      <c r="T121" s="18"/>
    </row>
    <row r="122" spans="1:20" x14ac:dyDescent="0.25">
      <c r="A122" s="219"/>
      <c r="B122" s="3"/>
      <c r="C122" s="18"/>
      <c r="D122" s="18"/>
      <c r="E122" s="18"/>
      <c r="F122" s="18"/>
      <c r="G122" s="18"/>
      <c r="H122" s="18"/>
      <c r="I122" s="18"/>
      <c r="J122" s="18"/>
      <c r="K122" s="18"/>
      <c r="L122" s="18"/>
      <c r="M122" s="18"/>
      <c r="N122" s="18"/>
      <c r="O122" s="18"/>
      <c r="P122" s="3"/>
      <c r="Q122" s="18"/>
      <c r="R122" s="18"/>
      <c r="S122" s="18"/>
      <c r="T122" s="18"/>
    </row>
    <row r="123" spans="1:20" x14ac:dyDescent="0.25">
      <c r="A123" s="219"/>
      <c r="B123" s="3"/>
      <c r="C123" s="18"/>
      <c r="D123" s="18"/>
      <c r="E123" s="18"/>
      <c r="F123" s="18"/>
      <c r="G123" s="18"/>
      <c r="H123" s="18"/>
      <c r="I123" s="18"/>
      <c r="J123" s="18"/>
      <c r="K123" s="18"/>
      <c r="L123" s="18"/>
      <c r="M123" s="18"/>
      <c r="N123" s="18"/>
      <c r="O123" s="18"/>
      <c r="P123" s="3"/>
      <c r="Q123" s="18"/>
      <c r="R123" s="18"/>
      <c r="S123" s="18"/>
      <c r="T123" s="18"/>
    </row>
    <row r="124" spans="1:20" x14ac:dyDescent="0.25">
      <c r="A124" s="219"/>
      <c r="B124" s="3"/>
      <c r="C124" s="18"/>
      <c r="D124" s="18"/>
      <c r="E124" s="18"/>
      <c r="F124" s="18"/>
      <c r="G124" s="18"/>
      <c r="H124" s="18"/>
      <c r="I124" s="18"/>
      <c r="J124" s="18"/>
      <c r="K124" s="18"/>
      <c r="L124" s="18"/>
      <c r="M124" s="18"/>
      <c r="N124" s="18"/>
      <c r="O124" s="18"/>
      <c r="P124" s="3"/>
      <c r="Q124" s="18"/>
      <c r="R124" s="18"/>
      <c r="S124" s="18"/>
      <c r="T124" s="18"/>
    </row>
    <row r="125" spans="1:20" x14ac:dyDescent="0.25">
      <c r="A125" s="219"/>
      <c r="B125" s="3"/>
      <c r="C125" s="18"/>
      <c r="D125" s="18"/>
      <c r="E125" s="18"/>
      <c r="F125" s="18"/>
      <c r="G125" s="18"/>
      <c r="H125" s="18"/>
      <c r="I125" s="18"/>
      <c r="J125" s="18"/>
      <c r="K125" s="18"/>
      <c r="L125" s="18"/>
      <c r="M125" s="18"/>
      <c r="N125" s="18"/>
      <c r="O125" s="18"/>
      <c r="P125" s="3"/>
      <c r="Q125" s="18"/>
      <c r="R125" s="18"/>
      <c r="S125" s="18"/>
      <c r="T125" s="18"/>
    </row>
    <row r="126" spans="1:20" x14ac:dyDescent="0.25">
      <c r="A126" s="219"/>
      <c r="B126" s="3"/>
      <c r="C126" s="18"/>
      <c r="D126" s="18"/>
      <c r="E126" s="18"/>
      <c r="F126" s="18"/>
      <c r="G126" s="18"/>
      <c r="H126" s="18"/>
      <c r="I126" s="18"/>
      <c r="J126" s="18"/>
      <c r="K126" s="18"/>
      <c r="L126" s="18"/>
      <c r="M126" s="18"/>
      <c r="N126" s="18"/>
      <c r="O126" s="18"/>
      <c r="P126" s="3"/>
      <c r="Q126" s="18"/>
      <c r="R126" s="18"/>
      <c r="S126" s="18"/>
      <c r="T126" s="18"/>
    </row>
    <row r="127" spans="1:20" x14ac:dyDescent="0.25">
      <c r="A127" s="219"/>
      <c r="B127" s="3"/>
      <c r="C127" s="18"/>
      <c r="D127" s="18"/>
      <c r="E127" s="18"/>
      <c r="F127" s="18"/>
      <c r="G127" s="18"/>
      <c r="H127" s="18"/>
      <c r="I127" s="18"/>
      <c r="J127" s="18"/>
      <c r="K127" s="18"/>
      <c r="L127" s="18"/>
      <c r="M127" s="18"/>
      <c r="N127" s="18"/>
      <c r="O127" s="18"/>
      <c r="P127" s="3"/>
      <c r="Q127" s="18"/>
      <c r="R127" s="18"/>
      <c r="S127" s="18"/>
      <c r="T127" s="18"/>
    </row>
    <row r="128" spans="1:20" x14ac:dyDescent="0.25">
      <c r="A128" s="219"/>
      <c r="B128" s="3"/>
      <c r="C128" s="18"/>
      <c r="D128" s="18"/>
      <c r="E128" s="18"/>
      <c r="F128" s="18"/>
      <c r="G128" s="18"/>
      <c r="H128" s="18"/>
      <c r="I128" s="18"/>
      <c r="J128" s="18"/>
      <c r="K128" s="18"/>
      <c r="L128" s="18"/>
      <c r="M128" s="18"/>
      <c r="N128" s="18"/>
      <c r="O128" s="18"/>
      <c r="P128" s="3"/>
      <c r="Q128" s="18"/>
      <c r="R128" s="18"/>
      <c r="S128" s="18"/>
      <c r="T128" s="18"/>
    </row>
    <row r="129" spans="3:3" x14ac:dyDescent="0.25">
      <c r="C129" s="99"/>
    </row>
    <row r="130" spans="3:3" x14ac:dyDescent="0.25">
      <c r="C130" s="99"/>
    </row>
    <row r="131" spans="3:3" x14ac:dyDescent="0.25">
      <c r="C131" s="99"/>
    </row>
    <row r="132" spans="3:3" x14ac:dyDescent="0.25">
      <c r="C132" s="99"/>
    </row>
    <row r="133" spans="3:3" x14ac:dyDescent="0.25">
      <c r="C133" s="99"/>
    </row>
    <row r="134" spans="3:3" x14ac:dyDescent="0.25">
      <c r="C134" s="99"/>
    </row>
    <row r="135" spans="3:3" x14ac:dyDescent="0.25">
      <c r="C135" s="99"/>
    </row>
    <row r="136" spans="3:3" x14ac:dyDescent="0.25">
      <c r="C136" s="99"/>
    </row>
    <row r="137" spans="3:3" x14ac:dyDescent="0.25">
      <c r="C137" s="99"/>
    </row>
    <row r="138" spans="3:3" x14ac:dyDescent="0.25">
      <c r="C138" s="99"/>
    </row>
    <row r="139" spans="3:3" x14ac:dyDescent="0.25">
      <c r="C139" s="99"/>
    </row>
    <row r="140" spans="3:3" x14ac:dyDescent="0.25">
      <c r="C140" s="99"/>
    </row>
    <row r="141" spans="3:3" x14ac:dyDescent="0.25">
      <c r="C141" s="99"/>
    </row>
    <row r="142" spans="3:3" x14ac:dyDescent="0.25">
      <c r="C142" s="99"/>
    </row>
    <row r="143" spans="3:3" x14ac:dyDescent="0.25">
      <c r="C143" s="99"/>
    </row>
    <row r="144" spans="3:3" x14ac:dyDescent="0.25">
      <c r="C144" s="99"/>
    </row>
    <row r="145" spans="3:3" x14ac:dyDescent="0.25">
      <c r="C145" s="99"/>
    </row>
    <row r="146" spans="3:3" x14ac:dyDescent="0.25">
      <c r="C146" s="99"/>
    </row>
    <row r="147" spans="3:3" x14ac:dyDescent="0.25">
      <c r="C147" s="99"/>
    </row>
    <row r="148" spans="3:3" x14ac:dyDescent="0.25">
      <c r="C148" s="99"/>
    </row>
    <row r="149" spans="3:3" x14ac:dyDescent="0.25">
      <c r="C149" s="99"/>
    </row>
    <row r="150" spans="3:3" x14ac:dyDescent="0.25">
      <c r="C150" s="99"/>
    </row>
    <row r="151" spans="3:3" x14ac:dyDescent="0.25">
      <c r="C151" s="99"/>
    </row>
    <row r="152" spans="3:3" x14ac:dyDescent="0.25">
      <c r="C152" s="99"/>
    </row>
    <row r="153" spans="3:3" x14ac:dyDescent="0.25">
      <c r="C153" s="99"/>
    </row>
    <row r="154" spans="3:3" x14ac:dyDescent="0.25">
      <c r="C154" s="99"/>
    </row>
    <row r="155" spans="3:3" x14ac:dyDescent="0.25">
      <c r="C155" s="99"/>
    </row>
    <row r="156" spans="3:3" x14ac:dyDescent="0.25">
      <c r="C156" s="99"/>
    </row>
    <row r="157" spans="3:3" x14ac:dyDescent="0.25">
      <c r="C157" s="99"/>
    </row>
    <row r="158" spans="3:3" x14ac:dyDescent="0.25">
      <c r="C158" s="99"/>
    </row>
    <row r="159" spans="3:3" x14ac:dyDescent="0.25">
      <c r="C159" s="99"/>
    </row>
    <row r="160" spans="3:3" x14ac:dyDescent="0.25">
      <c r="C160" s="99"/>
    </row>
    <row r="161" spans="3:3" x14ac:dyDescent="0.25">
      <c r="C161" s="99"/>
    </row>
    <row r="162" spans="3:3" x14ac:dyDescent="0.25">
      <c r="C162" s="99"/>
    </row>
    <row r="163" spans="3:3" x14ac:dyDescent="0.25">
      <c r="C163" s="99"/>
    </row>
    <row r="164" spans="3:3" x14ac:dyDescent="0.25">
      <c r="C164" s="99"/>
    </row>
    <row r="165" spans="3:3" x14ac:dyDescent="0.25">
      <c r="C165" s="99"/>
    </row>
    <row r="166" spans="3:3" x14ac:dyDescent="0.25">
      <c r="C166" s="99"/>
    </row>
    <row r="167" spans="3:3" x14ac:dyDescent="0.25">
      <c r="C167" s="99"/>
    </row>
    <row r="168" spans="3:3" x14ac:dyDescent="0.25">
      <c r="C168" s="99"/>
    </row>
    <row r="169" spans="3:3" x14ac:dyDescent="0.25">
      <c r="C169" s="99"/>
    </row>
    <row r="170" spans="3:3" x14ac:dyDescent="0.25">
      <c r="C170" s="99"/>
    </row>
    <row r="171" spans="3:3" x14ac:dyDescent="0.25">
      <c r="C171" s="99"/>
    </row>
    <row r="172" spans="3:3" x14ac:dyDescent="0.25">
      <c r="C172" s="99"/>
    </row>
    <row r="173" spans="3:3" x14ac:dyDescent="0.25">
      <c r="C173" s="99"/>
    </row>
    <row r="174" spans="3:3" x14ac:dyDescent="0.25">
      <c r="C174" s="99"/>
    </row>
    <row r="175" spans="3:3" x14ac:dyDescent="0.25">
      <c r="C175" s="99"/>
    </row>
    <row r="176" spans="3:3" x14ac:dyDescent="0.25">
      <c r="C176" s="99"/>
    </row>
    <row r="177" spans="3:3" x14ac:dyDescent="0.25">
      <c r="C177" s="99"/>
    </row>
    <row r="178" spans="3:3" x14ac:dyDescent="0.25">
      <c r="C178" s="99"/>
    </row>
  </sheetData>
  <phoneticPr fontId="0" type="noConversion"/>
  <hyperlinks>
    <hyperlink ref="A1" location="'Working Budget with funding det'!A1" display="Main " xr:uid="{00000000-0004-0000-2700-000000000000}"/>
    <hyperlink ref="B1" location="'Table of Contents'!A1" display="TOC" xr:uid="{00000000-0004-0000-2700-000001000000}"/>
  </hyperlinks>
  <pageMargins left="0.75" right="0.75" top="1" bottom="1" header="0.5" footer="0.5"/>
  <pageSetup scale="92" fitToHeight="0" orientation="landscape" r:id="rId1"/>
  <headerFooter alignWithMargins="0">
    <oddFooter>&amp;L&amp;D     &amp;T&amp;C&amp;F&amp;R&amp;A</oddFooter>
  </headerFooter>
  <rowBreaks count="1" manualBreakCount="1">
    <brk id="3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sheetPr>
  <dimension ref="A1:W164"/>
  <sheetViews>
    <sheetView zoomScaleNormal="100" workbookViewId="0">
      <selection activeCell="Q10" sqref="Q10"/>
    </sheetView>
  </sheetViews>
  <sheetFormatPr defaultRowHeight="13.2" x14ac:dyDescent="0.25"/>
  <cols>
    <col min="1" max="1" width="8.77734375" style="228"/>
    <col min="2" max="2" width="36.6640625" customWidth="1"/>
    <col min="3" max="3" width="14.44140625" style="1" hidden="1" customWidth="1"/>
    <col min="4" max="12" width="14.44140625" style="67" hidden="1" customWidth="1"/>
    <col min="13" max="15" width="14.44140625" style="67" customWidth="1"/>
    <col min="16" max="16" width="14.44140625" customWidth="1"/>
    <col min="17" max="19" width="14.44140625" style="1" customWidth="1"/>
    <col min="20" max="22" width="14.44140625" customWidth="1"/>
    <col min="23" max="23" width="14.6640625" style="2" customWidth="1"/>
  </cols>
  <sheetData>
    <row r="1" spans="1:22" x14ac:dyDescent="0.25">
      <c r="A1" s="217" t="s">
        <v>40</v>
      </c>
      <c r="B1" s="132" t="s">
        <v>2</v>
      </c>
      <c r="D1" s="99"/>
      <c r="E1" s="99"/>
      <c r="F1" s="99"/>
      <c r="G1" s="99"/>
      <c r="H1" s="99"/>
      <c r="I1" s="99"/>
      <c r="J1" s="99"/>
      <c r="K1" s="99"/>
      <c r="L1" s="99"/>
      <c r="M1" s="99"/>
      <c r="N1" s="99"/>
      <c r="O1" s="99"/>
      <c r="S1"/>
    </row>
    <row r="2" spans="1:22" ht="13.8" x14ac:dyDescent="0.25">
      <c r="A2" s="218" t="s">
        <v>243</v>
      </c>
      <c r="B2" s="35"/>
      <c r="D2" s="99"/>
      <c r="E2" s="78"/>
      <c r="F2" s="99"/>
      <c r="G2" s="99"/>
      <c r="H2" s="99"/>
      <c r="I2" s="78" t="s">
        <v>22</v>
      </c>
      <c r="J2" s="40"/>
      <c r="K2" s="40"/>
      <c r="L2" s="40"/>
      <c r="M2" s="40"/>
      <c r="N2" s="40"/>
      <c r="O2" s="40"/>
      <c r="P2" s="1"/>
      <c r="Q2" s="36" t="s">
        <v>244</v>
      </c>
      <c r="R2" s="36"/>
    </row>
    <row r="3" spans="1:22" ht="13.8" thickBot="1" x14ac:dyDescent="0.3">
      <c r="A3" s="219"/>
      <c r="B3" s="3"/>
      <c r="C3" s="18"/>
      <c r="D3" s="18"/>
      <c r="E3" s="18"/>
      <c r="F3" s="18"/>
      <c r="G3" s="18"/>
      <c r="H3" s="18"/>
      <c r="I3" s="18"/>
      <c r="J3" s="18"/>
      <c r="K3" s="18"/>
      <c r="L3" s="18"/>
      <c r="M3" s="18"/>
      <c r="N3" s="18"/>
      <c r="O3" s="18"/>
      <c r="P3" s="3"/>
      <c r="Q3" s="18"/>
      <c r="R3" s="18"/>
      <c r="S3" s="3"/>
      <c r="V3" s="3"/>
    </row>
    <row r="4" spans="1:22" ht="13.8" thickTop="1" x14ac:dyDescent="0.25">
      <c r="A4" s="220"/>
      <c r="B4" s="187"/>
      <c r="C4" s="71" t="s">
        <v>13</v>
      </c>
      <c r="D4" s="106" t="s">
        <v>13</v>
      </c>
      <c r="E4" s="106" t="s">
        <v>13</v>
      </c>
      <c r="F4" s="106" t="s">
        <v>13</v>
      </c>
      <c r="G4" s="106" t="s">
        <v>13</v>
      </c>
      <c r="H4" s="65" t="s">
        <v>13</v>
      </c>
      <c r="I4" s="111" t="s">
        <v>13</v>
      </c>
      <c r="J4" s="111" t="s">
        <v>13</v>
      </c>
      <c r="K4" s="111" t="s">
        <v>12</v>
      </c>
      <c r="L4" s="111" t="s">
        <v>13</v>
      </c>
      <c r="M4" s="111" t="s">
        <v>12</v>
      </c>
      <c r="N4" s="111" t="s">
        <v>13</v>
      </c>
      <c r="O4" s="111" t="s">
        <v>12</v>
      </c>
      <c r="P4" s="65" t="s">
        <v>23</v>
      </c>
      <c r="Q4" s="52" t="s">
        <v>18</v>
      </c>
      <c r="R4" s="52" t="s">
        <v>18</v>
      </c>
      <c r="S4" s="4" t="s">
        <v>18</v>
      </c>
    </row>
    <row r="5" spans="1:22" x14ac:dyDescent="0.25">
      <c r="A5" s="221"/>
      <c r="B5" s="96"/>
      <c r="C5" s="70"/>
      <c r="D5" s="54"/>
      <c r="E5" s="66"/>
      <c r="F5" s="54"/>
      <c r="G5" s="54"/>
      <c r="H5" s="66"/>
      <c r="I5" s="112"/>
      <c r="J5" s="112"/>
      <c r="K5" s="112"/>
      <c r="L5" s="112"/>
      <c r="M5" s="112"/>
      <c r="N5" s="112"/>
      <c r="O5" s="112"/>
      <c r="P5" s="66" t="s">
        <v>24</v>
      </c>
      <c r="Q5" s="55" t="s">
        <v>25</v>
      </c>
      <c r="R5" s="55" t="s">
        <v>26</v>
      </c>
      <c r="S5" s="93" t="s">
        <v>27</v>
      </c>
    </row>
    <row r="6" spans="1:22" x14ac:dyDescent="0.25">
      <c r="A6" s="221"/>
      <c r="B6" s="96"/>
      <c r="C6" s="70"/>
      <c r="D6" s="70"/>
      <c r="E6" s="70"/>
      <c r="F6" s="54"/>
      <c r="G6" s="70"/>
      <c r="H6" s="70"/>
      <c r="I6" s="55"/>
      <c r="J6" s="55"/>
      <c r="K6" s="55"/>
      <c r="L6" s="55"/>
      <c r="M6" s="55"/>
      <c r="N6" s="55"/>
      <c r="O6" s="55"/>
      <c r="P6" s="70"/>
      <c r="Q6" s="55" t="s">
        <v>28</v>
      </c>
      <c r="R6" s="55" t="s">
        <v>19</v>
      </c>
      <c r="S6" s="37" t="s">
        <v>29</v>
      </c>
    </row>
    <row r="7" spans="1:22" ht="13.8" thickBot="1" x14ac:dyDescent="0.3">
      <c r="A7" s="222" t="s">
        <v>30</v>
      </c>
      <c r="B7" s="51"/>
      <c r="C7" s="115" t="s">
        <v>4</v>
      </c>
      <c r="D7" s="115" t="s">
        <v>5</v>
      </c>
      <c r="E7" s="5" t="s">
        <v>6</v>
      </c>
      <c r="F7" s="5" t="s">
        <v>15</v>
      </c>
      <c r="G7" s="5" t="s">
        <v>16</v>
      </c>
      <c r="H7" s="5" t="s">
        <v>7</v>
      </c>
      <c r="I7" s="5" t="s">
        <v>8</v>
      </c>
      <c r="J7" s="5" t="s">
        <v>17</v>
      </c>
      <c r="K7" s="5" t="s">
        <v>9</v>
      </c>
      <c r="L7" s="5" t="s">
        <v>9</v>
      </c>
      <c r="M7" s="5" t="s">
        <v>10</v>
      </c>
      <c r="N7" s="5" t="s">
        <v>10</v>
      </c>
      <c r="O7" s="5" t="s">
        <v>11</v>
      </c>
      <c r="P7" s="76">
        <v>44926</v>
      </c>
      <c r="Q7" s="5" t="s">
        <v>31</v>
      </c>
      <c r="R7" s="5"/>
      <c r="S7" s="5" t="s">
        <v>19</v>
      </c>
    </row>
    <row r="8" spans="1:22" ht="13.8" thickTop="1" x14ac:dyDescent="0.25">
      <c r="A8" s="235"/>
      <c r="B8" s="97"/>
      <c r="C8" s="75"/>
      <c r="D8" s="13"/>
      <c r="E8" s="13"/>
      <c r="F8" s="13"/>
      <c r="G8" s="13"/>
      <c r="H8" s="13"/>
      <c r="I8" s="14"/>
      <c r="J8" s="14"/>
      <c r="K8" s="14"/>
      <c r="L8" s="14"/>
      <c r="M8" s="14"/>
      <c r="N8" s="14"/>
      <c r="O8" s="14"/>
      <c r="P8" s="13"/>
      <c r="Q8" s="14"/>
      <c r="R8" s="14"/>
      <c r="S8" s="14"/>
    </row>
    <row r="9" spans="1:22" x14ac:dyDescent="0.25">
      <c r="A9" s="240">
        <v>5112</v>
      </c>
      <c r="B9" s="208" t="s">
        <v>196</v>
      </c>
      <c r="C9" s="214">
        <v>4545.67</v>
      </c>
      <c r="D9" s="212">
        <f>63.11+5644.1</f>
        <v>5707.21</v>
      </c>
      <c r="E9" s="212">
        <v>17794.28</v>
      </c>
      <c r="F9" s="212">
        <v>14174.24</v>
      </c>
      <c r="G9" s="212">
        <v>9439.34</v>
      </c>
      <c r="H9" s="212">
        <v>11085.96</v>
      </c>
      <c r="I9" s="212">
        <v>12666.61</v>
      </c>
      <c r="J9" s="212">
        <v>2065.6999999999998</v>
      </c>
      <c r="K9" s="206">
        <v>21300</v>
      </c>
      <c r="L9" s="212">
        <v>1336.32</v>
      </c>
      <c r="M9" s="206">
        <v>21300</v>
      </c>
      <c r="N9" s="212">
        <v>1474.4</v>
      </c>
      <c r="O9" s="206">
        <v>21300</v>
      </c>
      <c r="P9" s="212">
        <v>717.9</v>
      </c>
      <c r="Q9" s="206">
        <f>2500+'420 DPW'!P90</f>
        <v>30642.400000000001</v>
      </c>
      <c r="R9" s="9"/>
      <c r="S9" s="9"/>
    </row>
    <row r="10" spans="1:22" x14ac:dyDescent="0.25">
      <c r="A10" s="240">
        <v>5132</v>
      </c>
      <c r="B10" s="208" t="s">
        <v>141</v>
      </c>
      <c r="C10" s="214">
        <v>1961.27</v>
      </c>
      <c r="D10" s="212">
        <f>1.68+2428.95</f>
        <v>2430.6299999999997</v>
      </c>
      <c r="E10" s="212">
        <v>1931.5</v>
      </c>
      <c r="F10" s="212">
        <v>855.54</v>
      </c>
      <c r="G10" s="212">
        <v>1837.89</v>
      </c>
      <c r="H10" s="212">
        <v>2301.96</v>
      </c>
      <c r="I10" s="212">
        <v>6062.31</v>
      </c>
      <c r="J10" s="212">
        <v>1525.21</v>
      </c>
      <c r="K10" s="206">
        <v>2500</v>
      </c>
      <c r="L10" s="212">
        <v>12365.81</v>
      </c>
      <c r="M10" s="206">
        <v>2500</v>
      </c>
      <c r="N10" s="212">
        <v>11142.17</v>
      </c>
      <c r="O10" s="206">
        <v>2500</v>
      </c>
      <c r="P10" s="212">
        <v>11620.66</v>
      </c>
      <c r="Q10" s="206">
        <f>8000+21300</f>
        <v>29300</v>
      </c>
      <c r="R10" s="9"/>
      <c r="S10" s="9"/>
    </row>
    <row r="11" spans="1:22" ht="13.8" thickBot="1" x14ac:dyDescent="0.3">
      <c r="A11" s="224">
        <v>5142</v>
      </c>
      <c r="B11" s="42" t="s">
        <v>127</v>
      </c>
      <c r="C11" s="201">
        <v>862.96</v>
      </c>
      <c r="D11" s="22">
        <f>2.9+312.47</f>
        <v>315.37</v>
      </c>
      <c r="E11" s="22">
        <v>548.44000000000005</v>
      </c>
      <c r="F11" s="22">
        <v>715.7</v>
      </c>
      <c r="G11" s="22">
        <v>802.76</v>
      </c>
      <c r="H11" s="22">
        <v>433.84</v>
      </c>
      <c r="I11" s="22">
        <v>541.12</v>
      </c>
      <c r="J11" s="22">
        <v>43.76</v>
      </c>
      <c r="K11" s="23">
        <v>1000</v>
      </c>
      <c r="L11" s="22">
        <v>594.45000000000005</v>
      </c>
      <c r="M11" s="23">
        <v>1000</v>
      </c>
      <c r="N11" s="22">
        <v>669.46</v>
      </c>
      <c r="O11" s="23">
        <v>1000</v>
      </c>
      <c r="P11" s="22">
        <v>1026.03</v>
      </c>
      <c r="Q11" s="23">
        <v>1000</v>
      </c>
      <c r="R11" s="23"/>
      <c r="S11" s="23"/>
    </row>
    <row r="12" spans="1:22" x14ac:dyDescent="0.25">
      <c r="A12" s="224"/>
      <c r="B12" s="43" t="s">
        <v>32</v>
      </c>
      <c r="C12" s="202">
        <f t="shared" ref="C12:P12" si="0">SUM(C9:C11)</f>
        <v>7369.9000000000005</v>
      </c>
      <c r="D12" s="24">
        <f t="shared" si="0"/>
        <v>8453.2100000000009</v>
      </c>
      <c r="E12" s="24">
        <f t="shared" si="0"/>
        <v>20274.219999999998</v>
      </c>
      <c r="F12" s="24">
        <f t="shared" ref="F12:N12" si="1">SUM(F9:F11)</f>
        <v>15745.48</v>
      </c>
      <c r="G12" s="24">
        <f t="shared" si="1"/>
        <v>12079.99</v>
      </c>
      <c r="H12" s="24">
        <f t="shared" si="1"/>
        <v>13821.759999999998</v>
      </c>
      <c r="I12" s="24">
        <f t="shared" si="1"/>
        <v>19270.04</v>
      </c>
      <c r="J12" s="24">
        <f t="shared" si="1"/>
        <v>3634.67</v>
      </c>
      <c r="K12" s="25">
        <f t="shared" si="1"/>
        <v>24800</v>
      </c>
      <c r="L12" s="24">
        <f t="shared" si="1"/>
        <v>14296.58</v>
      </c>
      <c r="M12" s="25">
        <f>SUM(M9:M11)</f>
        <v>24800</v>
      </c>
      <c r="N12" s="24">
        <f t="shared" si="1"/>
        <v>13286.029999999999</v>
      </c>
      <c r="O12" s="25">
        <f>SUM(O9:O11)</f>
        <v>24800</v>
      </c>
      <c r="P12" s="24">
        <f t="shared" si="0"/>
        <v>13364.59</v>
      </c>
      <c r="Q12" s="25">
        <f>SUM(Q9:Q11)</f>
        <v>60942.400000000001</v>
      </c>
      <c r="R12" s="25"/>
      <c r="S12" s="25">
        <f>+Q12</f>
        <v>60942.400000000001</v>
      </c>
    </row>
    <row r="13" spans="1:22" x14ac:dyDescent="0.25">
      <c r="A13" s="224"/>
      <c r="B13" s="42"/>
      <c r="C13" s="73"/>
      <c r="D13" s="8"/>
      <c r="E13" s="8"/>
      <c r="F13" s="8"/>
      <c r="G13" s="8"/>
      <c r="H13" s="8"/>
      <c r="I13" s="8"/>
      <c r="J13" s="8"/>
      <c r="K13" s="9"/>
      <c r="L13" s="8"/>
      <c r="M13" s="9"/>
      <c r="N13" s="8"/>
      <c r="O13" s="9"/>
      <c r="P13" s="8"/>
      <c r="Q13" s="9"/>
      <c r="R13" s="9"/>
      <c r="S13" s="9"/>
    </row>
    <row r="14" spans="1:22" x14ac:dyDescent="0.25">
      <c r="A14" s="224">
        <v>5249</v>
      </c>
      <c r="B14" s="42" t="s">
        <v>245</v>
      </c>
      <c r="C14" s="73">
        <v>400</v>
      </c>
      <c r="D14" s="8">
        <v>0</v>
      </c>
      <c r="E14" s="8">
        <v>16295.59</v>
      </c>
      <c r="F14" s="8"/>
      <c r="G14" s="8"/>
      <c r="H14" s="8"/>
      <c r="I14" s="8">
        <v>0</v>
      </c>
      <c r="J14" s="8"/>
      <c r="K14" s="9">
        <v>1000</v>
      </c>
      <c r="L14" s="8"/>
      <c r="M14" s="9">
        <v>1000</v>
      </c>
      <c r="N14" s="8">
        <v>711</v>
      </c>
      <c r="O14" s="9">
        <v>1000</v>
      </c>
      <c r="P14" s="8"/>
      <c r="Q14" s="9">
        <v>1000</v>
      </c>
      <c r="R14" s="9"/>
      <c r="S14" s="9"/>
    </row>
    <row r="15" spans="1:22" x14ac:dyDescent="0.25">
      <c r="A15" s="224">
        <v>5252</v>
      </c>
      <c r="B15" s="42" t="s">
        <v>246</v>
      </c>
      <c r="C15" s="73">
        <v>6272.16</v>
      </c>
      <c r="D15" s="8">
        <v>160.99</v>
      </c>
      <c r="E15" s="8">
        <v>1050</v>
      </c>
      <c r="F15" s="8">
        <v>592.44000000000005</v>
      </c>
      <c r="G15" s="8"/>
      <c r="H15" s="8"/>
      <c r="I15" s="8">
        <v>0</v>
      </c>
      <c r="J15" s="8">
        <v>1140</v>
      </c>
      <c r="K15" s="9">
        <v>4500</v>
      </c>
      <c r="L15" s="8">
        <v>2650</v>
      </c>
      <c r="M15" s="9">
        <v>4500</v>
      </c>
      <c r="N15" s="8">
        <v>5942.76</v>
      </c>
      <c r="O15" s="9">
        <v>4500</v>
      </c>
      <c r="P15" s="8">
        <v>6870</v>
      </c>
      <c r="Q15" s="9">
        <v>4500</v>
      </c>
      <c r="R15" s="9"/>
      <c r="S15" s="9"/>
    </row>
    <row r="16" spans="1:22" x14ac:dyDescent="0.25">
      <c r="A16" s="224">
        <v>5271</v>
      </c>
      <c r="B16" s="42" t="s">
        <v>247</v>
      </c>
      <c r="C16" s="73">
        <v>100</v>
      </c>
      <c r="D16" s="8">
        <v>100</v>
      </c>
      <c r="E16" s="8"/>
      <c r="F16" s="8">
        <v>100</v>
      </c>
      <c r="G16" s="8">
        <v>100</v>
      </c>
      <c r="H16" s="8">
        <v>100</v>
      </c>
      <c r="I16" s="8">
        <v>100</v>
      </c>
      <c r="J16" s="8">
        <v>1350</v>
      </c>
      <c r="K16" s="9">
        <v>500</v>
      </c>
      <c r="L16" s="8">
        <v>300</v>
      </c>
      <c r="M16" s="9">
        <v>500</v>
      </c>
      <c r="N16" s="8">
        <v>100</v>
      </c>
      <c r="O16" s="9">
        <v>500</v>
      </c>
      <c r="P16" s="8">
        <v>1350</v>
      </c>
      <c r="Q16" s="9">
        <v>1350</v>
      </c>
      <c r="R16" s="9"/>
      <c r="S16" s="9"/>
    </row>
    <row r="17" spans="1:22" x14ac:dyDescent="0.25">
      <c r="A17" s="224">
        <v>5277</v>
      </c>
      <c r="B17" s="42" t="s">
        <v>148</v>
      </c>
      <c r="C17" s="73"/>
      <c r="D17" s="8">
        <v>0</v>
      </c>
      <c r="E17" s="8"/>
      <c r="F17" s="8"/>
      <c r="G17" s="8"/>
      <c r="H17" s="8"/>
      <c r="I17" s="8">
        <v>0</v>
      </c>
      <c r="J17" s="8"/>
      <c r="K17" s="9">
        <v>1000</v>
      </c>
      <c r="L17" s="8"/>
      <c r="M17" s="9">
        <v>1000</v>
      </c>
      <c r="N17" s="8"/>
      <c r="O17" s="9">
        <v>1000</v>
      </c>
      <c r="P17" s="8"/>
      <c r="Q17" s="9">
        <v>1000</v>
      </c>
      <c r="R17" s="9"/>
      <c r="S17" s="9"/>
    </row>
    <row r="18" spans="1:22" x14ac:dyDescent="0.25">
      <c r="A18" s="224">
        <v>5283</v>
      </c>
      <c r="B18" s="42" t="s">
        <v>248</v>
      </c>
      <c r="C18" s="73">
        <v>386.2</v>
      </c>
      <c r="D18" s="8">
        <v>0</v>
      </c>
      <c r="E18" s="8"/>
      <c r="F18" s="8"/>
      <c r="G18" s="8"/>
      <c r="H18" s="8"/>
      <c r="I18" s="8">
        <v>0</v>
      </c>
      <c r="J18" s="8"/>
      <c r="K18" s="9">
        <v>1000</v>
      </c>
      <c r="L18" s="8">
        <v>1012.5</v>
      </c>
      <c r="M18" s="9">
        <v>1000</v>
      </c>
      <c r="N18" s="8"/>
      <c r="O18" s="9">
        <v>1000</v>
      </c>
      <c r="P18" s="8"/>
      <c r="Q18" s="9">
        <v>1000</v>
      </c>
      <c r="R18" s="9"/>
      <c r="S18" s="9"/>
    </row>
    <row r="19" spans="1:22" x14ac:dyDescent="0.25">
      <c r="A19" s="224">
        <v>5303</v>
      </c>
      <c r="B19" s="7" t="s">
        <v>249</v>
      </c>
      <c r="C19" s="8"/>
      <c r="D19" s="8">
        <v>0</v>
      </c>
      <c r="E19" s="8"/>
      <c r="F19" s="8"/>
      <c r="G19" s="8"/>
      <c r="H19" s="8"/>
      <c r="I19" s="8">
        <v>0</v>
      </c>
      <c r="J19" s="8"/>
      <c r="K19" s="9">
        <v>300</v>
      </c>
      <c r="L19" s="8"/>
      <c r="M19" s="9">
        <v>300</v>
      </c>
      <c r="N19" s="8">
        <v>579.91</v>
      </c>
      <c r="O19" s="9">
        <v>300</v>
      </c>
      <c r="P19" s="8"/>
      <c r="Q19" s="9">
        <v>300</v>
      </c>
      <c r="R19" s="9"/>
      <c r="S19" s="9"/>
    </row>
    <row r="20" spans="1:22" x14ac:dyDescent="0.25">
      <c r="A20" s="240">
        <v>5430</v>
      </c>
      <c r="B20" s="215" t="s">
        <v>306</v>
      </c>
      <c r="C20" s="269"/>
      <c r="D20" s="269"/>
      <c r="E20" s="269"/>
      <c r="F20" s="269"/>
      <c r="G20" s="269"/>
      <c r="H20" s="269"/>
      <c r="I20" s="269"/>
      <c r="J20" s="269"/>
      <c r="K20" s="271"/>
      <c r="L20" s="269"/>
      <c r="M20" s="271"/>
      <c r="N20" s="269"/>
      <c r="O20" s="271"/>
      <c r="P20" s="269"/>
      <c r="Q20" s="271">
        <v>25000</v>
      </c>
      <c r="R20" s="14"/>
      <c r="S20" s="14"/>
    </row>
    <row r="21" spans="1:22" x14ac:dyDescent="0.25">
      <c r="A21" s="224">
        <v>5443</v>
      </c>
      <c r="B21" s="7" t="s">
        <v>250</v>
      </c>
      <c r="C21" s="13">
        <v>7655.99</v>
      </c>
      <c r="D21" s="13">
        <v>8625.1200000000008</v>
      </c>
      <c r="E21" s="13">
        <v>2764.54</v>
      </c>
      <c r="F21" s="13">
        <v>30514.94</v>
      </c>
      <c r="G21" s="13">
        <v>6447.4</v>
      </c>
      <c r="H21" s="13">
        <v>5197.7</v>
      </c>
      <c r="I21" s="13">
        <v>7617.74</v>
      </c>
      <c r="J21" s="13">
        <v>5181.97</v>
      </c>
      <c r="K21" s="14">
        <v>5000</v>
      </c>
      <c r="L21" s="13">
        <v>8824.2999999999993</v>
      </c>
      <c r="M21" s="14">
        <v>5000</v>
      </c>
      <c r="N21" s="13">
        <v>4028.05</v>
      </c>
      <c r="O21" s="14">
        <v>5000</v>
      </c>
      <c r="P21" s="13">
        <v>2115.1</v>
      </c>
      <c r="Q21" s="14">
        <v>5000</v>
      </c>
      <c r="R21" s="14"/>
      <c r="S21" s="14"/>
    </row>
    <row r="22" spans="1:22" ht="13.8" thickBot="1" x14ac:dyDescent="0.3">
      <c r="A22" s="224">
        <v>5530</v>
      </c>
      <c r="B22" s="7" t="s">
        <v>163</v>
      </c>
      <c r="C22" s="10">
        <v>210.4</v>
      </c>
      <c r="D22" s="10">
        <v>0</v>
      </c>
      <c r="E22" s="10">
        <v>1294.25</v>
      </c>
      <c r="F22" s="10"/>
      <c r="G22" s="10">
        <v>978.6</v>
      </c>
      <c r="H22" s="10">
        <v>38.25</v>
      </c>
      <c r="I22" s="10">
        <v>0</v>
      </c>
      <c r="J22" s="10"/>
      <c r="K22" s="11">
        <v>4700</v>
      </c>
      <c r="L22" s="10"/>
      <c r="M22" s="11">
        <v>4700</v>
      </c>
      <c r="N22" s="10">
        <v>10184.98</v>
      </c>
      <c r="O22" s="11">
        <v>4700</v>
      </c>
      <c r="P22" s="10"/>
      <c r="Q22" s="11">
        <v>12700</v>
      </c>
      <c r="R22" s="11"/>
      <c r="S22" s="11"/>
    </row>
    <row r="23" spans="1:22" x14ac:dyDescent="0.25">
      <c r="A23" s="224"/>
      <c r="B23" s="43" t="s">
        <v>34</v>
      </c>
      <c r="C23" s="24">
        <f t="shared" ref="C23:P23" si="2">SUM(C14:C22)</f>
        <v>15024.749999999998</v>
      </c>
      <c r="D23" s="24">
        <f t="shared" si="2"/>
        <v>8886.11</v>
      </c>
      <c r="E23" s="24">
        <f t="shared" si="2"/>
        <v>21404.38</v>
      </c>
      <c r="F23" s="24">
        <f t="shared" ref="F23:K23" si="3">SUM(F14:F22)</f>
        <v>31207.379999999997</v>
      </c>
      <c r="G23" s="24">
        <f t="shared" si="3"/>
        <v>7526</v>
      </c>
      <c r="H23" s="24">
        <f t="shared" si="3"/>
        <v>5335.95</v>
      </c>
      <c r="I23" s="24">
        <f t="shared" si="3"/>
        <v>7717.74</v>
      </c>
      <c r="J23" s="24">
        <f t="shared" si="3"/>
        <v>7671.97</v>
      </c>
      <c r="K23" s="25">
        <f t="shared" si="3"/>
        <v>18000</v>
      </c>
      <c r="L23" s="24">
        <f t="shared" ref="L23:O23" si="4">SUM(L14:L22)</f>
        <v>12786.8</v>
      </c>
      <c r="M23" s="25">
        <f t="shared" si="4"/>
        <v>18000</v>
      </c>
      <c r="N23" s="24">
        <f t="shared" ref="N23" si="5">SUM(N14:N22)</f>
        <v>21546.7</v>
      </c>
      <c r="O23" s="25">
        <f t="shared" si="4"/>
        <v>18000</v>
      </c>
      <c r="P23" s="68">
        <f t="shared" si="2"/>
        <v>10335.1</v>
      </c>
      <c r="Q23" s="25">
        <f>SUM(Q14:Q22)</f>
        <v>51850</v>
      </c>
      <c r="R23" s="25"/>
      <c r="S23" s="25">
        <f>+Q23</f>
        <v>51850</v>
      </c>
    </row>
    <row r="24" spans="1:22" x14ac:dyDescent="0.25">
      <c r="A24" s="224"/>
      <c r="B24" s="43"/>
      <c r="C24" s="13"/>
      <c r="D24" s="13"/>
      <c r="E24" s="13"/>
      <c r="F24" s="13"/>
      <c r="G24" s="13"/>
      <c r="H24" s="13"/>
      <c r="I24" s="13"/>
      <c r="J24" s="13"/>
      <c r="K24" s="14"/>
      <c r="L24" s="13"/>
      <c r="M24" s="14"/>
      <c r="N24" s="13"/>
      <c r="O24" s="14"/>
      <c r="P24" s="68"/>
      <c r="Q24" s="14"/>
      <c r="R24" s="14"/>
      <c r="S24" s="14"/>
    </row>
    <row r="25" spans="1:22" ht="13.8" thickBot="1" x14ac:dyDescent="0.3">
      <c r="A25" s="240">
        <v>5800</v>
      </c>
      <c r="B25" s="208" t="s">
        <v>242</v>
      </c>
      <c r="C25" s="281">
        <v>2116.23</v>
      </c>
      <c r="D25" s="281">
        <v>0</v>
      </c>
      <c r="E25" s="281">
        <v>0</v>
      </c>
      <c r="F25" s="281">
        <v>6467.28</v>
      </c>
      <c r="G25" s="281"/>
      <c r="H25" s="281"/>
      <c r="I25" s="281">
        <v>0</v>
      </c>
      <c r="J25" s="281">
        <v>0</v>
      </c>
      <c r="K25" s="277">
        <v>8000</v>
      </c>
      <c r="L25" s="281"/>
      <c r="M25" s="277">
        <v>8000</v>
      </c>
      <c r="N25" s="281"/>
      <c r="O25" s="277">
        <v>8000</v>
      </c>
      <c r="P25" s="282"/>
      <c r="Q25" s="277"/>
      <c r="R25" s="11"/>
      <c r="S25" s="11"/>
    </row>
    <row r="26" spans="1:22" x14ac:dyDescent="0.25">
      <c r="A26" s="224"/>
      <c r="B26" s="43" t="s">
        <v>61</v>
      </c>
      <c r="C26" s="13">
        <f t="shared" ref="C26:Q26" si="6">+C25</f>
        <v>2116.23</v>
      </c>
      <c r="D26" s="13">
        <f t="shared" si="6"/>
        <v>0</v>
      </c>
      <c r="E26" s="13">
        <f t="shared" si="6"/>
        <v>0</v>
      </c>
      <c r="F26" s="13">
        <f>+F25</f>
        <v>6467.28</v>
      </c>
      <c r="G26" s="13">
        <f>+G25</f>
        <v>0</v>
      </c>
      <c r="H26" s="13">
        <f>+H25</f>
        <v>0</v>
      </c>
      <c r="I26" s="13">
        <f>+I25</f>
        <v>0</v>
      </c>
      <c r="J26" s="13">
        <f>+J25</f>
        <v>0</v>
      </c>
      <c r="K26" s="14">
        <f t="shared" ref="K26:O26" si="7">+K25</f>
        <v>8000</v>
      </c>
      <c r="L26" s="13">
        <f t="shared" si="7"/>
        <v>0</v>
      </c>
      <c r="M26" s="14">
        <f t="shared" si="7"/>
        <v>8000</v>
      </c>
      <c r="N26" s="13">
        <f t="shared" ref="N26" si="8">+N25</f>
        <v>0</v>
      </c>
      <c r="O26" s="14">
        <f t="shared" si="7"/>
        <v>8000</v>
      </c>
      <c r="P26" s="80">
        <f t="shared" si="6"/>
        <v>0</v>
      </c>
      <c r="Q26" s="14">
        <f t="shared" si="6"/>
        <v>0</v>
      </c>
      <c r="R26" s="14"/>
      <c r="S26" s="14">
        <f>+Q26</f>
        <v>0</v>
      </c>
    </row>
    <row r="27" spans="1:22" x14ac:dyDescent="0.25">
      <c r="A27" s="224"/>
      <c r="B27" s="42"/>
      <c r="C27" s="8"/>
      <c r="D27" s="8"/>
      <c r="E27" s="8"/>
      <c r="F27" s="8"/>
      <c r="G27" s="8"/>
      <c r="H27" s="8"/>
      <c r="I27" s="8"/>
      <c r="J27" s="8"/>
      <c r="K27" s="9"/>
      <c r="L27" s="8"/>
      <c r="M27" s="9"/>
      <c r="N27" s="8"/>
      <c r="O27" s="9"/>
      <c r="P27" s="8"/>
      <c r="Q27" s="9"/>
      <c r="R27" s="9"/>
      <c r="S27" s="9"/>
    </row>
    <row r="28" spans="1:22" ht="13.8" thickBot="1" x14ac:dyDescent="0.3">
      <c r="A28" s="225"/>
      <c r="B28" s="15" t="s">
        <v>251</v>
      </c>
      <c r="C28" s="16">
        <f t="shared" ref="C28:S28" si="9">+C23+C12+C26</f>
        <v>24510.879999999997</v>
      </c>
      <c r="D28" s="16">
        <f t="shared" si="9"/>
        <v>17339.32</v>
      </c>
      <c r="E28" s="16">
        <f t="shared" si="9"/>
        <v>41678.6</v>
      </c>
      <c r="F28" s="16">
        <f>+F26+F23+F12</f>
        <v>53420.14</v>
      </c>
      <c r="G28" s="16">
        <f>+G26+G23+G12</f>
        <v>19605.989999999998</v>
      </c>
      <c r="H28" s="16">
        <f>+H26+H23+H12</f>
        <v>19157.71</v>
      </c>
      <c r="I28" s="16">
        <f>+I23+I12+I26</f>
        <v>26987.78</v>
      </c>
      <c r="J28" s="16">
        <f>+J23+J12+J26</f>
        <v>11306.64</v>
      </c>
      <c r="K28" s="17">
        <f t="shared" ref="K28:O28" si="10">+K23+K12+K26</f>
        <v>50800</v>
      </c>
      <c r="L28" s="16">
        <f t="shared" si="10"/>
        <v>27083.379999999997</v>
      </c>
      <c r="M28" s="17">
        <f t="shared" si="10"/>
        <v>50800</v>
      </c>
      <c r="N28" s="16">
        <f t="shared" ref="N28" si="11">+N23+N12+N26</f>
        <v>34832.729999999996</v>
      </c>
      <c r="O28" s="17">
        <f t="shared" si="10"/>
        <v>50800</v>
      </c>
      <c r="P28" s="16">
        <f t="shared" si="9"/>
        <v>23699.690000000002</v>
      </c>
      <c r="Q28" s="17">
        <f t="shared" si="9"/>
        <v>112792.4</v>
      </c>
      <c r="R28" s="17">
        <f>+Q28</f>
        <v>112792.4</v>
      </c>
      <c r="S28" s="17">
        <f t="shared" si="9"/>
        <v>112792.4</v>
      </c>
    </row>
    <row r="29" spans="1:22" ht="13.8" thickTop="1" x14ac:dyDescent="0.25">
      <c r="A29" s="45">
        <v>44936</v>
      </c>
      <c r="B29" s="3" t="s">
        <v>307</v>
      </c>
      <c r="C29" s="18"/>
      <c r="D29" s="18"/>
      <c r="E29" s="18"/>
      <c r="F29" s="18"/>
      <c r="G29" s="18"/>
      <c r="H29" s="18"/>
      <c r="I29" s="18"/>
      <c r="J29" s="18"/>
      <c r="K29" s="18"/>
      <c r="L29" s="18"/>
      <c r="M29" s="18"/>
      <c r="N29" s="18"/>
      <c r="O29" s="18"/>
      <c r="P29" s="94" t="s">
        <v>37</v>
      </c>
      <c r="Q29" s="278">
        <f>+Q28-O28</f>
        <v>61992.399999999994</v>
      </c>
      <c r="R29" s="279">
        <f>ROUND((+Q29/O28),4)</f>
        <v>1.2202999999999999</v>
      </c>
      <c r="S29" s="18"/>
      <c r="T29" s="20"/>
      <c r="U29" s="20"/>
      <c r="V29" s="20"/>
    </row>
    <row r="30" spans="1:22" x14ac:dyDescent="0.25">
      <c r="A30" s="45">
        <v>44936</v>
      </c>
      <c r="B30" s="3" t="s">
        <v>309</v>
      </c>
      <c r="C30" s="18"/>
      <c r="D30" s="18"/>
      <c r="E30" s="18"/>
      <c r="F30" s="18"/>
      <c r="G30" s="18"/>
      <c r="H30" s="18"/>
      <c r="I30" s="18"/>
      <c r="J30" s="18"/>
      <c r="K30" s="18"/>
      <c r="L30" s="18"/>
      <c r="M30" s="18"/>
      <c r="N30" s="18"/>
      <c r="O30" s="18"/>
      <c r="P30" s="20"/>
      <c r="Q30" s="18"/>
      <c r="R30" s="18"/>
      <c r="S30" s="20"/>
      <c r="T30" s="20"/>
      <c r="U30" s="20"/>
      <c r="V30" s="20"/>
    </row>
    <row r="31" spans="1:22" x14ac:dyDescent="0.25">
      <c r="A31" s="45">
        <v>44936</v>
      </c>
      <c r="B31" s="3" t="s">
        <v>310</v>
      </c>
      <c r="C31" s="18"/>
      <c r="D31" s="18"/>
      <c r="E31" s="18"/>
      <c r="F31" s="18"/>
      <c r="G31" s="18"/>
      <c r="H31" s="18"/>
      <c r="I31" s="18"/>
      <c r="J31" s="18"/>
      <c r="K31" s="18"/>
      <c r="L31" s="18"/>
      <c r="M31" s="18"/>
      <c r="N31" s="18"/>
      <c r="O31" s="18"/>
      <c r="P31" s="20"/>
      <c r="Q31" s="18"/>
      <c r="R31" s="18"/>
      <c r="S31" s="20"/>
      <c r="T31" s="20"/>
      <c r="U31" s="20"/>
      <c r="V31" s="20"/>
    </row>
    <row r="32" spans="1:22" x14ac:dyDescent="0.25">
      <c r="A32" s="45"/>
      <c r="B32" s="3"/>
      <c r="C32" s="18"/>
      <c r="D32" s="18"/>
      <c r="E32" s="18"/>
      <c r="F32" s="18"/>
      <c r="G32" s="18"/>
      <c r="H32" s="18"/>
      <c r="I32" s="18"/>
      <c r="J32" s="18"/>
      <c r="K32" s="18"/>
      <c r="L32" s="18"/>
      <c r="M32" s="18"/>
      <c r="N32" s="18"/>
      <c r="O32" s="18"/>
      <c r="P32" s="20"/>
      <c r="Q32" s="18"/>
      <c r="R32" s="18"/>
      <c r="S32" s="20"/>
      <c r="T32" s="20"/>
      <c r="U32" s="20"/>
      <c r="V32" s="20"/>
    </row>
    <row r="33" spans="1:22" ht="13.8" thickBot="1" x14ac:dyDescent="0.3">
      <c r="C33" s="18"/>
      <c r="D33" s="18"/>
      <c r="E33" s="18"/>
      <c r="F33" s="99"/>
      <c r="G33" s="49"/>
      <c r="H33" s="18"/>
      <c r="I33" s="18"/>
      <c r="J33" s="18"/>
      <c r="K33" s="18"/>
      <c r="L33" s="18"/>
      <c r="M33" s="18"/>
      <c r="N33" s="18"/>
      <c r="O33" s="18"/>
      <c r="P33" s="20"/>
      <c r="Q33" s="18"/>
      <c r="R33" s="18"/>
      <c r="S33" s="18"/>
      <c r="T33" s="20"/>
      <c r="U33" s="20"/>
      <c r="V33" s="20"/>
    </row>
    <row r="34" spans="1:22" ht="13.8" thickTop="1" x14ac:dyDescent="0.25">
      <c r="A34" s="231"/>
      <c r="B34" s="145"/>
      <c r="C34" s="146" t="s">
        <v>13</v>
      </c>
      <c r="D34" s="147" t="s">
        <v>13</v>
      </c>
      <c r="E34" s="147" t="s">
        <v>13</v>
      </c>
      <c r="F34" s="99"/>
      <c r="G34" s="99"/>
      <c r="H34" s="99"/>
      <c r="I34" s="99"/>
      <c r="J34" s="99"/>
      <c r="K34" s="99"/>
      <c r="L34" s="99"/>
      <c r="M34" s="148" t="s">
        <v>12</v>
      </c>
      <c r="N34" s="149" t="s">
        <v>31</v>
      </c>
      <c r="O34" s="150" t="s">
        <v>35</v>
      </c>
      <c r="P34" s="149" t="s">
        <v>36</v>
      </c>
      <c r="Q34" s="151"/>
      <c r="R34" s="193"/>
      <c r="S34" s="150"/>
      <c r="T34" s="20"/>
      <c r="U34" s="20"/>
      <c r="V34" s="20"/>
    </row>
    <row r="35" spans="1:22" ht="13.8" thickBot="1" x14ac:dyDescent="0.3">
      <c r="A35" s="232" t="s">
        <v>30</v>
      </c>
      <c r="B35" s="152"/>
      <c r="C35" s="153" t="s">
        <v>4</v>
      </c>
      <c r="D35" s="153" t="s">
        <v>5</v>
      </c>
      <c r="E35" s="154" t="s">
        <v>6</v>
      </c>
      <c r="F35" s="99"/>
      <c r="G35" s="99"/>
      <c r="H35" s="99"/>
      <c r="I35" s="99"/>
      <c r="J35" s="99"/>
      <c r="K35" s="99"/>
      <c r="L35" s="99"/>
      <c r="M35" s="155" t="s">
        <v>11</v>
      </c>
      <c r="N35" s="155" t="s">
        <v>18</v>
      </c>
      <c r="O35" s="154" t="s">
        <v>37</v>
      </c>
      <c r="P35" s="156" t="s">
        <v>37</v>
      </c>
      <c r="Q35" s="157" t="s">
        <v>38</v>
      </c>
      <c r="R35" s="194"/>
      <c r="S35" s="155"/>
      <c r="T35" s="20"/>
      <c r="U35" s="20"/>
      <c r="V35" s="20"/>
    </row>
    <row r="36" spans="1:22" ht="13.8" thickTop="1" x14ac:dyDescent="0.25">
      <c r="A36" s="236"/>
      <c r="B36" s="168"/>
      <c r="C36" s="158"/>
      <c r="D36" s="158"/>
      <c r="E36" s="158"/>
      <c r="F36" s="99"/>
      <c r="G36" s="99"/>
      <c r="H36" s="99"/>
      <c r="I36" s="99"/>
      <c r="J36" s="99"/>
      <c r="K36" s="99"/>
      <c r="L36" s="99"/>
      <c r="M36" s="159"/>
      <c r="N36" s="158"/>
      <c r="O36" s="159"/>
      <c r="P36" s="158"/>
      <c r="Q36" s="182"/>
      <c r="R36" s="263"/>
      <c r="S36" s="183"/>
      <c r="T36" s="20"/>
      <c r="U36" s="20"/>
      <c r="V36" s="20"/>
    </row>
    <row r="37" spans="1:22" x14ac:dyDescent="0.25">
      <c r="A37" s="234">
        <v>5112</v>
      </c>
      <c r="B37" s="162" t="s">
        <v>196</v>
      </c>
      <c r="C37" s="165">
        <v>4545.67</v>
      </c>
      <c r="D37" s="165">
        <f>63.11+5644.1</f>
        <v>5707.21</v>
      </c>
      <c r="E37" s="165">
        <v>17794.28</v>
      </c>
      <c r="F37" s="99"/>
      <c r="G37" s="99"/>
      <c r="H37" s="99"/>
      <c r="I37" s="99"/>
      <c r="J37" s="99"/>
      <c r="K37" s="99"/>
      <c r="L37" s="99"/>
      <c r="M37" s="164">
        <f>+O9</f>
        <v>21300</v>
      </c>
      <c r="N37" s="165">
        <f>+Q9</f>
        <v>30642.400000000001</v>
      </c>
      <c r="O37" s="164">
        <f t="shared" ref="O37:O50" si="12">+N37-M37</f>
        <v>9342.4000000000015</v>
      </c>
      <c r="P37" s="166">
        <f t="shared" ref="P37:P50" si="13">IF(M37+N37&lt;&gt;0,IF(M37&lt;&gt;0,IF(O37&lt;&gt;0,ROUND((+O37/M37),4),""),1),"")</f>
        <v>0.43859999999999999</v>
      </c>
      <c r="Q37" s="160" t="s">
        <v>313</v>
      </c>
      <c r="R37" s="195"/>
      <c r="S37" s="161"/>
      <c r="T37" s="20"/>
      <c r="U37" s="20"/>
      <c r="V37" s="20"/>
    </row>
    <row r="38" spans="1:22" x14ac:dyDescent="0.25">
      <c r="A38" s="234">
        <v>5132</v>
      </c>
      <c r="B38" s="162" t="s">
        <v>141</v>
      </c>
      <c r="C38" s="165">
        <v>1961.27</v>
      </c>
      <c r="D38" s="165">
        <f>1.68+2428.95</f>
        <v>2430.6299999999997</v>
      </c>
      <c r="E38" s="165">
        <v>1931.5</v>
      </c>
      <c r="F38" s="99"/>
      <c r="G38" s="99"/>
      <c r="H38" s="99"/>
      <c r="I38" s="99"/>
      <c r="J38" s="99"/>
      <c r="K38" s="99"/>
      <c r="L38" s="99"/>
      <c r="M38" s="164">
        <f>+O10</f>
        <v>2500</v>
      </c>
      <c r="N38" s="165">
        <f>+Q10</f>
        <v>29300</v>
      </c>
      <c r="O38" s="164">
        <f t="shared" si="12"/>
        <v>26800</v>
      </c>
      <c r="P38" s="166">
        <f t="shared" si="13"/>
        <v>10.72</v>
      </c>
      <c r="Q38" s="170" t="s">
        <v>312</v>
      </c>
      <c r="R38" s="265"/>
      <c r="S38" s="179"/>
      <c r="T38" s="20"/>
      <c r="U38" s="20"/>
      <c r="V38" s="20"/>
    </row>
    <row r="39" spans="1:22" x14ac:dyDescent="0.25">
      <c r="A39" s="234">
        <v>5142</v>
      </c>
      <c r="B39" s="162" t="s">
        <v>127</v>
      </c>
      <c r="C39" s="169">
        <v>862.96</v>
      </c>
      <c r="D39" s="169">
        <f>2.9+312.47</f>
        <v>315.37</v>
      </c>
      <c r="E39" s="169">
        <v>548.44000000000005</v>
      </c>
      <c r="F39" s="99"/>
      <c r="G39" s="99"/>
      <c r="H39" s="99"/>
      <c r="I39" s="99"/>
      <c r="J39" s="99"/>
      <c r="K39" s="99"/>
      <c r="L39" s="99"/>
      <c r="M39" s="164">
        <f>+O11</f>
        <v>1000</v>
      </c>
      <c r="N39" s="165">
        <f>+Q11</f>
        <v>1000</v>
      </c>
      <c r="O39" s="164">
        <f t="shared" si="12"/>
        <v>0</v>
      </c>
      <c r="P39" s="166" t="str">
        <f t="shared" si="13"/>
        <v/>
      </c>
      <c r="Q39" s="170"/>
      <c r="R39" s="264"/>
      <c r="S39" s="179"/>
      <c r="T39" s="20"/>
      <c r="U39" s="20"/>
      <c r="V39" s="20"/>
    </row>
    <row r="40" spans="1:22" x14ac:dyDescent="0.25">
      <c r="A40" s="234">
        <v>5249</v>
      </c>
      <c r="B40" s="162" t="s">
        <v>245</v>
      </c>
      <c r="C40" s="165">
        <v>400</v>
      </c>
      <c r="D40" s="165">
        <v>0</v>
      </c>
      <c r="E40" s="165">
        <v>16295.59</v>
      </c>
      <c r="F40" s="99"/>
      <c r="G40" s="99"/>
      <c r="H40" s="99"/>
      <c r="I40" s="99"/>
      <c r="J40" s="99"/>
      <c r="K40" s="99"/>
      <c r="L40" s="99"/>
      <c r="M40" s="164">
        <f t="shared" ref="M40:M45" si="14">+O14</f>
        <v>1000</v>
      </c>
      <c r="N40" s="158">
        <f t="shared" ref="N40:N45" si="15">+Q14</f>
        <v>1000</v>
      </c>
      <c r="O40" s="164">
        <f t="shared" si="12"/>
        <v>0</v>
      </c>
      <c r="P40" s="166" t="str">
        <f t="shared" si="13"/>
        <v/>
      </c>
      <c r="Q40" s="160"/>
      <c r="R40" s="195"/>
      <c r="S40" s="161"/>
      <c r="T40" s="20"/>
      <c r="U40" s="20"/>
      <c r="V40" s="20"/>
    </row>
    <row r="41" spans="1:22" x14ac:dyDescent="0.25">
      <c r="A41" s="234">
        <v>5252</v>
      </c>
      <c r="B41" s="162" t="s">
        <v>246</v>
      </c>
      <c r="C41" s="165">
        <v>6272.16</v>
      </c>
      <c r="D41" s="165">
        <v>160.99</v>
      </c>
      <c r="E41" s="165">
        <v>1050</v>
      </c>
      <c r="F41" s="99"/>
      <c r="G41" s="99"/>
      <c r="H41" s="99"/>
      <c r="I41" s="99"/>
      <c r="J41" s="99"/>
      <c r="K41" s="99"/>
      <c r="L41" s="99"/>
      <c r="M41" s="164">
        <f t="shared" si="14"/>
        <v>4500</v>
      </c>
      <c r="N41" s="165">
        <f t="shared" si="15"/>
        <v>4500</v>
      </c>
      <c r="O41" s="164">
        <f t="shared" si="12"/>
        <v>0</v>
      </c>
      <c r="P41" s="166" t="str">
        <f t="shared" si="13"/>
        <v/>
      </c>
      <c r="Q41" s="160"/>
      <c r="R41" s="195"/>
      <c r="S41" s="161"/>
      <c r="T41" s="20"/>
      <c r="U41" s="20"/>
      <c r="V41" s="20"/>
    </row>
    <row r="42" spans="1:22" x14ac:dyDescent="0.25">
      <c r="A42" s="234">
        <v>5271</v>
      </c>
      <c r="B42" s="162" t="s">
        <v>247</v>
      </c>
      <c r="C42" s="165">
        <v>100</v>
      </c>
      <c r="D42" s="165">
        <v>100</v>
      </c>
      <c r="E42" s="165"/>
      <c r="F42" s="99"/>
      <c r="G42" s="99"/>
      <c r="H42" s="99"/>
      <c r="I42" s="99"/>
      <c r="J42" s="99"/>
      <c r="K42" s="99"/>
      <c r="L42" s="99"/>
      <c r="M42" s="164">
        <f t="shared" si="14"/>
        <v>500</v>
      </c>
      <c r="N42" s="165">
        <f t="shared" si="15"/>
        <v>1350</v>
      </c>
      <c r="O42" s="164">
        <f t="shared" si="12"/>
        <v>850</v>
      </c>
      <c r="P42" s="166">
        <f t="shared" si="13"/>
        <v>1.7</v>
      </c>
      <c r="Q42" s="170"/>
      <c r="R42" s="264"/>
      <c r="S42" s="179"/>
      <c r="T42" s="20"/>
      <c r="U42" s="20"/>
      <c r="V42" s="20"/>
    </row>
    <row r="43" spans="1:22" x14ac:dyDescent="0.25">
      <c r="A43" s="234">
        <v>5277</v>
      </c>
      <c r="B43" s="162" t="s">
        <v>148</v>
      </c>
      <c r="C43" s="165"/>
      <c r="D43" s="165">
        <v>0</v>
      </c>
      <c r="E43" s="165"/>
      <c r="F43" s="99"/>
      <c r="G43" s="99"/>
      <c r="H43" s="99"/>
      <c r="I43" s="99"/>
      <c r="J43" s="99"/>
      <c r="K43" s="99"/>
      <c r="L43" s="99"/>
      <c r="M43" s="164">
        <f t="shared" si="14"/>
        <v>1000</v>
      </c>
      <c r="N43" s="165">
        <f t="shared" si="15"/>
        <v>1000</v>
      </c>
      <c r="O43" s="164">
        <f t="shared" si="12"/>
        <v>0</v>
      </c>
      <c r="P43" s="166" t="str">
        <f t="shared" si="13"/>
        <v/>
      </c>
      <c r="Q43" s="170"/>
      <c r="R43" s="264"/>
      <c r="S43" s="179"/>
      <c r="T43" s="20"/>
      <c r="U43" s="20"/>
      <c r="V43" s="20"/>
    </row>
    <row r="44" spans="1:22" x14ac:dyDescent="0.25">
      <c r="A44" s="234">
        <v>5283</v>
      </c>
      <c r="B44" s="162" t="s">
        <v>248</v>
      </c>
      <c r="C44" s="165">
        <v>386.2</v>
      </c>
      <c r="D44" s="165">
        <v>0</v>
      </c>
      <c r="E44" s="165"/>
      <c r="F44" s="99"/>
      <c r="G44" s="99"/>
      <c r="H44" s="99"/>
      <c r="I44" s="99"/>
      <c r="J44" s="99"/>
      <c r="K44" s="99"/>
      <c r="L44" s="99"/>
      <c r="M44" s="164">
        <f t="shared" si="14"/>
        <v>1000</v>
      </c>
      <c r="N44" s="165">
        <f t="shared" si="15"/>
        <v>1000</v>
      </c>
      <c r="O44" s="164">
        <f t="shared" si="12"/>
        <v>0</v>
      </c>
      <c r="P44" s="166" t="str">
        <f t="shared" si="13"/>
        <v/>
      </c>
      <c r="Q44" s="170"/>
      <c r="R44" s="264"/>
      <c r="S44" s="179"/>
      <c r="T44" s="20"/>
      <c r="U44" s="20"/>
      <c r="V44" s="20"/>
    </row>
    <row r="45" spans="1:22" x14ac:dyDescent="0.25">
      <c r="A45" s="234">
        <v>5303</v>
      </c>
      <c r="B45" s="162" t="s">
        <v>249</v>
      </c>
      <c r="C45" s="165"/>
      <c r="D45" s="165">
        <v>0</v>
      </c>
      <c r="E45" s="165"/>
      <c r="F45" s="99"/>
      <c r="G45" s="99"/>
      <c r="H45" s="99"/>
      <c r="I45" s="99"/>
      <c r="J45" s="99"/>
      <c r="K45" s="99"/>
      <c r="L45" s="99"/>
      <c r="M45" s="164">
        <f t="shared" si="14"/>
        <v>300</v>
      </c>
      <c r="N45" s="165">
        <f t="shared" si="15"/>
        <v>300</v>
      </c>
      <c r="O45" s="164">
        <f t="shared" si="12"/>
        <v>0</v>
      </c>
      <c r="P45" s="166" t="str">
        <f t="shared" si="13"/>
        <v/>
      </c>
      <c r="Q45" s="170"/>
      <c r="R45" s="264"/>
      <c r="S45" s="179"/>
      <c r="T45" s="20"/>
      <c r="U45" s="20"/>
      <c r="V45" s="20"/>
    </row>
    <row r="46" spans="1:22" x14ac:dyDescent="0.25">
      <c r="A46" s="234">
        <v>5430</v>
      </c>
      <c r="B46" s="162" t="s">
        <v>306</v>
      </c>
      <c r="C46" s="158"/>
      <c r="D46" s="158"/>
      <c r="E46" s="158"/>
      <c r="F46" s="99"/>
      <c r="G46" s="99"/>
      <c r="H46" s="99"/>
      <c r="I46" s="99"/>
      <c r="J46" s="99"/>
      <c r="K46" s="99"/>
      <c r="L46" s="99"/>
      <c r="M46" s="164">
        <f t="shared" ref="M46" si="16">+O20</f>
        <v>0</v>
      </c>
      <c r="N46" s="165">
        <f t="shared" ref="N46" si="17">+Q20</f>
        <v>25000</v>
      </c>
      <c r="O46" s="164">
        <f t="shared" ref="O46" si="18">+N46-M46</f>
        <v>25000</v>
      </c>
      <c r="P46" s="166">
        <f t="shared" ref="P46" si="19">IF(M46+N46&lt;&gt;0,IF(M46&lt;&gt;0,IF(O46&lt;&gt;0,ROUND((+O46/M46),4),""),1),"")</f>
        <v>1</v>
      </c>
      <c r="Q46" s="170" t="s">
        <v>308</v>
      </c>
      <c r="R46" s="264"/>
      <c r="S46" s="179"/>
      <c r="T46" s="20"/>
      <c r="U46" s="20"/>
      <c r="V46" s="20"/>
    </row>
    <row r="47" spans="1:22" x14ac:dyDescent="0.25">
      <c r="A47" s="234">
        <v>5443</v>
      </c>
      <c r="B47" s="162" t="s">
        <v>250</v>
      </c>
      <c r="C47" s="158">
        <v>7655.99</v>
      </c>
      <c r="D47" s="158">
        <v>8625.1200000000008</v>
      </c>
      <c r="E47" s="158">
        <v>2764.54</v>
      </c>
      <c r="F47" s="99"/>
      <c r="G47" s="99"/>
      <c r="H47" s="99"/>
      <c r="I47" s="99"/>
      <c r="J47" s="99"/>
      <c r="K47" s="99"/>
      <c r="L47" s="99"/>
      <c r="M47" s="164">
        <f t="shared" ref="M47:M48" si="20">+O21</f>
        <v>5000</v>
      </c>
      <c r="N47" s="165">
        <f t="shared" ref="N47:N48" si="21">+Q21</f>
        <v>5000</v>
      </c>
      <c r="O47" s="164">
        <f t="shared" si="12"/>
        <v>0</v>
      </c>
      <c r="P47" s="166" t="str">
        <f t="shared" si="13"/>
        <v/>
      </c>
      <c r="Q47" s="170"/>
      <c r="R47" s="264"/>
      <c r="S47" s="179"/>
      <c r="T47" s="20"/>
      <c r="U47" s="20"/>
      <c r="V47" s="20"/>
    </row>
    <row r="48" spans="1:22" ht="13.8" thickBot="1" x14ac:dyDescent="0.3">
      <c r="A48" s="234">
        <v>5530</v>
      </c>
      <c r="B48" s="162" t="s">
        <v>163</v>
      </c>
      <c r="C48" s="163">
        <v>210.4</v>
      </c>
      <c r="D48" s="163">
        <v>0</v>
      </c>
      <c r="E48" s="163">
        <v>1294.25</v>
      </c>
      <c r="F48" s="99"/>
      <c r="G48" s="99"/>
      <c r="H48" s="99"/>
      <c r="I48" s="99"/>
      <c r="J48" s="99"/>
      <c r="K48" s="99"/>
      <c r="L48" s="99"/>
      <c r="M48" s="164">
        <f t="shared" si="20"/>
        <v>4700</v>
      </c>
      <c r="N48" s="165">
        <f t="shared" si="21"/>
        <v>12700</v>
      </c>
      <c r="O48" s="164">
        <f t="shared" si="12"/>
        <v>8000</v>
      </c>
      <c r="P48" s="166">
        <f t="shared" si="13"/>
        <v>1.7020999999999999</v>
      </c>
      <c r="Q48" s="170" t="s">
        <v>303</v>
      </c>
      <c r="R48" s="264"/>
      <c r="S48" s="179"/>
      <c r="T48" s="20"/>
      <c r="U48" s="20"/>
      <c r="V48" s="20"/>
    </row>
    <row r="49" spans="1:22" ht="13.8" thickBot="1" x14ac:dyDescent="0.3">
      <c r="A49" s="234">
        <v>5800</v>
      </c>
      <c r="B49" s="180" t="s">
        <v>242</v>
      </c>
      <c r="C49" s="163">
        <v>2116.23</v>
      </c>
      <c r="D49" s="163">
        <v>0</v>
      </c>
      <c r="E49" s="163">
        <v>0</v>
      </c>
      <c r="F49" s="99"/>
      <c r="G49" s="99"/>
      <c r="H49" s="99"/>
      <c r="I49" s="99"/>
      <c r="J49" s="99"/>
      <c r="K49" s="99"/>
      <c r="L49" s="99"/>
      <c r="M49" s="164">
        <f>+O25</f>
        <v>8000</v>
      </c>
      <c r="N49" s="165">
        <f>+Q25</f>
        <v>0</v>
      </c>
      <c r="O49" s="164">
        <f t="shared" si="12"/>
        <v>-8000</v>
      </c>
      <c r="P49" s="166">
        <f t="shared" si="13"/>
        <v>-1</v>
      </c>
      <c r="Q49" s="170" t="s">
        <v>311</v>
      </c>
      <c r="R49" s="264"/>
      <c r="S49" s="179"/>
      <c r="T49" s="20"/>
      <c r="U49" s="20"/>
      <c r="V49" s="20"/>
    </row>
    <row r="50" spans="1:22" x14ac:dyDescent="0.25">
      <c r="A50" s="234"/>
      <c r="B50" s="180"/>
      <c r="C50" s="165"/>
      <c r="D50" s="165"/>
      <c r="E50" s="165"/>
      <c r="F50" s="99"/>
      <c r="G50" s="99"/>
      <c r="H50" s="99"/>
      <c r="I50" s="99"/>
      <c r="J50" s="99"/>
      <c r="K50" s="99"/>
      <c r="L50" s="99"/>
      <c r="M50" s="164">
        <f>+K24</f>
        <v>0</v>
      </c>
      <c r="N50" s="158">
        <f>+Q27</f>
        <v>0</v>
      </c>
      <c r="O50" s="164">
        <f t="shared" si="12"/>
        <v>0</v>
      </c>
      <c r="P50" s="166" t="str">
        <f t="shared" si="13"/>
        <v/>
      </c>
      <c r="Q50" s="170"/>
      <c r="R50" s="264"/>
      <c r="S50" s="179"/>
      <c r="T50" s="20"/>
      <c r="U50" s="20"/>
      <c r="V50" s="20"/>
    </row>
    <row r="51" spans="1:22" x14ac:dyDescent="0.25">
      <c r="A51" s="219"/>
      <c r="B51" s="3"/>
      <c r="C51" s="18"/>
      <c r="D51" s="18"/>
      <c r="E51" s="18"/>
      <c r="F51" s="18"/>
      <c r="G51" s="18"/>
      <c r="H51" s="99"/>
      <c r="I51" s="99"/>
      <c r="J51" s="99"/>
      <c r="K51" s="99"/>
      <c r="L51" s="99"/>
      <c r="M51" s="18"/>
      <c r="N51" s="18"/>
      <c r="O51" s="18"/>
      <c r="P51" s="20"/>
      <c r="Q51" s="18"/>
      <c r="R51" s="18"/>
      <c r="S51" s="18"/>
      <c r="T51" s="20"/>
      <c r="U51" s="20"/>
      <c r="V51" s="20"/>
    </row>
    <row r="52" spans="1:22" x14ac:dyDescent="0.25">
      <c r="A52" s="219"/>
      <c r="B52" s="3" t="s">
        <v>39</v>
      </c>
      <c r="C52" s="18"/>
      <c r="D52" s="18"/>
      <c r="E52" s="18"/>
      <c r="F52" s="18"/>
      <c r="G52" s="18"/>
      <c r="H52" s="99"/>
      <c r="I52" s="99"/>
      <c r="J52" s="99"/>
      <c r="K52" s="99"/>
      <c r="L52" s="99"/>
      <c r="M52" s="209">
        <f>SUM(M36:M51)</f>
        <v>50800</v>
      </c>
      <c r="N52" s="209">
        <f>SUM(N36:N51)</f>
        <v>112792.4</v>
      </c>
      <c r="O52" s="20">
        <f>+N52-M52</f>
        <v>61992.399999999994</v>
      </c>
      <c r="P52" s="210">
        <f>IF(M52+N52&lt;&gt;0,IF(M52&lt;&gt;0,IF(O52&lt;&gt;0,ROUND((+O52/M52),4),""),1),"")</f>
        <v>1.2202999999999999</v>
      </c>
      <c r="Q52" s="18"/>
      <c r="R52" s="18"/>
      <c r="S52" s="18"/>
      <c r="T52" s="20"/>
      <c r="U52" s="20"/>
      <c r="V52" s="20"/>
    </row>
    <row r="53" spans="1:22" x14ac:dyDescent="0.25">
      <c r="A53" s="219"/>
      <c r="B53" s="3"/>
      <c r="C53" s="18"/>
      <c r="D53" s="18"/>
      <c r="E53" s="18"/>
      <c r="F53" s="18"/>
      <c r="G53" s="18"/>
      <c r="H53" s="99"/>
      <c r="I53" s="18"/>
      <c r="J53" s="18"/>
      <c r="K53" s="18"/>
      <c r="L53" s="18"/>
      <c r="M53" s="18"/>
      <c r="N53" s="18"/>
      <c r="O53" s="18"/>
      <c r="P53" s="20"/>
      <c r="Q53" s="18"/>
      <c r="R53" s="18"/>
      <c r="S53" s="18"/>
      <c r="T53" s="20"/>
      <c r="U53" s="20"/>
      <c r="V53" s="20"/>
    </row>
    <row r="54" spans="1:22" x14ac:dyDescent="0.25">
      <c r="A54" s="219"/>
      <c r="B54" s="3"/>
      <c r="C54" s="18"/>
      <c r="D54" s="18"/>
      <c r="E54" s="18"/>
      <c r="F54" s="18"/>
      <c r="G54" s="18"/>
      <c r="H54" s="18"/>
      <c r="I54" s="18"/>
      <c r="J54" s="18"/>
      <c r="K54" s="18"/>
      <c r="L54" s="18"/>
      <c r="M54" s="18"/>
      <c r="N54" s="18"/>
      <c r="O54" s="18"/>
      <c r="P54" s="3"/>
      <c r="Q54" s="18"/>
      <c r="R54" s="18"/>
      <c r="S54" s="18"/>
      <c r="T54" s="3"/>
      <c r="U54" s="3"/>
      <c r="V54" s="3"/>
    </row>
    <row r="55" spans="1:22" x14ac:dyDescent="0.25">
      <c r="A55" s="219"/>
      <c r="B55" s="3"/>
      <c r="C55" s="18"/>
      <c r="D55" s="18"/>
      <c r="E55" s="18"/>
      <c r="F55" s="18"/>
      <c r="G55" s="18"/>
      <c r="H55" s="18"/>
      <c r="I55" s="18"/>
      <c r="J55" s="18"/>
      <c r="K55" s="18"/>
      <c r="L55" s="18"/>
      <c r="M55" s="18"/>
      <c r="N55" s="18"/>
      <c r="O55" s="18"/>
      <c r="P55" s="3"/>
      <c r="Q55" s="18"/>
      <c r="R55" s="18"/>
      <c r="S55" s="18"/>
      <c r="T55" s="3"/>
      <c r="U55" s="3"/>
      <c r="V55" s="3"/>
    </row>
    <row r="56" spans="1:22" x14ac:dyDescent="0.25">
      <c r="A56" s="219"/>
      <c r="B56" s="3"/>
      <c r="C56" s="18"/>
      <c r="D56" s="18"/>
      <c r="E56" s="18"/>
      <c r="F56" s="18"/>
      <c r="G56" s="18"/>
      <c r="H56" s="18"/>
      <c r="I56" s="18"/>
      <c r="J56" s="18"/>
      <c r="K56" s="18"/>
      <c r="L56" s="18"/>
      <c r="M56" s="18"/>
      <c r="N56" s="18"/>
      <c r="O56" s="18"/>
      <c r="P56" s="3"/>
      <c r="Q56" s="18"/>
      <c r="R56" s="18"/>
      <c r="S56" s="18"/>
      <c r="T56" s="3"/>
      <c r="U56" s="3"/>
      <c r="V56" s="3"/>
    </row>
    <row r="57" spans="1:22" x14ac:dyDescent="0.25">
      <c r="A57" s="219"/>
      <c r="B57" s="3"/>
      <c r="C57" s="18"/>
      <c r="D57" s="18"/>
      <c r="E57" s="18"/>
      <c r="F57" s="18"/>
      <c r="G57" s="18"/>
      <c r="H57" s="18"/>
      <c r="I57" s="18"/>
      <c r="J57" s="18"/>
      <c r="K57" s="18"/>
      <c r="L57" s="18"/>
      <c r="M57" s="18"/>
      <c r="N57" s="18"/>
      <c r="O57" s="18"/>
      <c r="P57" s="3"/>
      <c r="Q57" s="18"/>
      <c r="R57" s="18"/>
      <c r="S57" s="18"/>
      <c r="T57" s="3"/>
      <c r="U57" s="3"/>
      <c r="V57" s="3"/>
    </row>
    <row r="58" spans="1:22" x14ac:dyDescent="0.25">
      <c r="A58" s="219"/>
      <c r="B58" s="3"/>
      <c r="C58" s="18"/>
      <c r="D58" s="18"/>
      <c r="E58" s="18"/>
      <c r="F58" s="18"/>
      <c r="G58" s="18"/>
      <c r="H58" s="18"/>
      <c r="I58" s="18"/>
      <c r="J58" s="18"/>
      <c r="K58" s="18"/>
      <c r="L58" s="18"/>
      <c r="M58" s="18"/>
      <c r="N58" s="18"/>
      <c r="O58" s="18"/>
      <c r="P58" s="3"/>
      <c r="Q58" s="18"/>
      <c r="R58" s="18"/>
      <c r="S58" s="18"/>
      <c r="T58" s="3"/>
      <c r="U58" s="3"/>
      <c r="V58" s="3"/>
    </row>
    <row r="59" spans="1:22" x14ac:dyDescent="0.25">
      <c r="A59" s="219"/>
      <c r="B59" s="3"/>
      <c r="C59" s="18"/>
      <c r="D59" s="18"/>
      <c r="E59" s="18"/>
      <c r="F59" s="18"/>
      <c r="G59" s="18"/>
      <c r="H59" s="18"/>
      <c r="I59" s="18"/>
      <c r="J59" s="18"/>
      <c r="K59" s="18"/>
      <c r="L59" s="18"/>
      <c r="M59" s="18"/>
      <c r="N59" s="18"/>
      <c r="O59" s="18"/>
      <c r="P59" s="3"/>
      <c r="Q59" s="18"/>
      <c r="R59" s="18"/>
      <c r="S59" s="18"/>
      <c r="T59" s="3"/>
      <c r="U59" s="3"/>
      <c r="V59" s="3"/>
    </row>
    <row r="60" spans="1:22" x14ac:dyDescent="0.25">
      <c r="A60" s="219"/>
      <c r="B60" s="3"/>
      <c r="C60" s="18"/>
      <c r="D60" s="18"/>
      <c r="E60" s="18"/>
      <c r="F60" s="18"/>
      <c r="G60" s="18"/>
      <c r="H60" s="18"/>
      <c r="I60" s="18"/>
      <c r="J60" s="18"/>
      <c r="K60" s="18"/>
      <c r="L60" s="18"/>
      <c r="M60" s="18"/>
      <c r="N60" s="18"/>
      <c r="O60" s="18"/>
      <c r="P60" s="3"/>
      <c r="Q60" s="18"/>
      <c r="R60" s="18"/>
      <c r="S60" s="18"/>
      <c r="T60" s="3"/>
      <c r="U60" s="3"/>
      <c r="V60" s="3"/>
    </row>
    <row r="61" spans="1:22" x14ac:dyDescent="0.25">
      <c r="A61" s="219"/>
      <c r="B61" s="3"/>
      <c r="C61" s="18"/>
      <c r="D61" s="18"/>
      <c r="E61" s="18"/>
      <c r="F61" s="18"/>
      <c r="G61" s="18"/>
      <c r="H61" s="18"/>
      <c r="I61" s="18"/>
      <c r="J61" s="18"/>
      <c r="K61" s="18"/>
      <c r="L61" s="18"/>
      <c r="M61" s="18"/>
      <c r="N61" s="18"/>
      <c r="O61" s="18"/>
      <c r="P61" s="3"/>
      <c r="Q61" s="18"/>
      <c r="R61" s="18"/>
      <c r="S61" s="18"/>
      <c r="T61" s="3"/>
      <c r="U61" s="3"/>
      <c r="V61" s="3"/>
    </row>
    <row r="62" spans="1:22" x14ac:dyDescent="0.25">
      <c r="A62" s="219"/>
      <c r="B62" s="3"/>
      <c r="C62" s="18"/>
      <c r="D62" s="18"/>
      <c r="E62" s="18"/>
      <c r="F62" s="18"/>
      <c r="G62" s="18"/>
      <c r="H62" s="18"/>
      <c r="I62" s="18"/>
      <c r="J62" s="18"/>
      <c r="K62" s="18"/>
      <c r="L62" s="18"/>
      <c r="M62" s="18"/>
      <c r="N62" s="18"/>
      <c r="O62" s="18"/>
      <c r="P62" s="3"/>
      <c r="Q62" s="18"/>
      <c r="R62" s="18"/>
      <c r="S62" s="18"/>
      <c r="T62" s="3"/>
      <c r="U62" s="3"/>
      <c r="V62" s="3"/>
    </row>
    <row r="63" spans="1:22" x14ac:dyDescent="0.25">
      <c r="A63" s="219"/>
      <c r="B63" s="3"/>
      <c r="C63" s="18"/>
      <c r="D63" s="18"/>
      <c r="E63" s="18"/>
      <c r="F63" s="18"/>
      <c r="G63" s="18"/>
      <c r="H63" s="18"/>
      <c r="I63" s="18"/>
      <c r="J63" s="18"/>
      <c r="K63" s="18"/>
      <c r="L63" s="18"/>
      <c r="M63" s="18"/>
      <c r="N63" s="18"/>
      <c r="O63" s="18"/>
      <c r="P63" s="3"/>
      <c r="Q63" s="18"/>
      <c r="R63" s="18"/>
      <c r="S63" s="18"/>
      <c r="T63" s="3"/>
      <c r="U63" s="3"/>
      <c r="V63" s="3"/>
    </row>
    <row r="64" spans="1:22" x14ac:dyDescent="0.25">
      <c r="A64" s="219"/>
      <c r="B64" s="3"/>
      <c r="C64" s="18"/>
      <c r="D64" s="18"/>
      <c r="E64" s="18"/>
      <c r="F64" s="18"/>
      <c r="G64" s="18"/>
      <c r="H64" s="18"/>
      <c r="I64" s="18"/>
      <c r="J64" s="18"/>
      <c r="K64" s="18"/>
      <c r="L64" s="18"/>
      <c r="M64" s="18"/>
      <c r="N64" s="18"/>
      <c r="O64" s="18"/>
      <c r="P64" s="3"/>
      <c r="Q64" s="18"/>
      <c r="R64" s="18"/>
      <c r="S64" s="18"/>
      <c r="T64" s="3"/>
      <c r="U64" s="3"/>
      <c r="V64" s="3"/>
    </row>
    <row r="65" spans="1:22" x14ac:dyDescent="0.25">
      <c r="A65" s="219"/>
      <c r="B65" s="3"/>
      <c r="C65" s="18"/>
      <c r="D65" s="18"/>
      <c r="E65" s="18"/>
      <c r="F65" s="18"/>
      <c r="G65" s="18"/>
      <c r="H65" s="18"/>
      <c r="I65" s="18"/>
      <c r="J65" s="18"/>
      <c r="K65" s="18"/>
      <c r="L65" s="18"/>
      <c r="M65" s="18"/>
      <c r="N65" s="18"/>
      <c r="O65" s="18"/>
      <c r="P65" s="3"/>
      <c r="Q65" s="18"/>
      <c r="R65" s="18"/>
      <c r="S65" s="18"/>
      <c r="T65" s="3"/>
      <c r="U65" s="3"/>
      <c r="V65" s="3"/>
    </row>
    <row r="66" spans="1:22" x14ac:dyDescent="0.25">
      <c r="A66" s="219"/>
      <c r="B66" s="3"/>
      <c r="C66" s="18"/>
      <c r="D66" s="18"/>
      <c r="E66" s="18"/>
      <c r="F66" s="18"/>
      <c r="G66" s="18"/>
      <c r="H66" s="18"/>
      <c r="I66" s="18"/>
      <c r="J66" s="18"/>
      <c r="K66" s="18"/>
      <c r="L66" s="18"/>
      <c r="M66" s="18"/>
      <c r="N66" s="18"/>
      <c r="O66" s="18"/>
      <c r="P66" s="3"/>
      <c r="Q66" s="18"/>
      <c r="R66" s="18"/>
      <c r="S66" s="18"/>
      <c r="T66" s="3"/>
      <c r="U66" s="3"/>
      <c r="V66" s="3"/>
    </row>
    <row r="67" spans="1:22" x14ac:dyDescent="0.25">
      <c r="A67" s="219"/>
      <c r="B67" s="3"/>
      <c r="C67" s="18"/>
      <c r="D67" s="18"/>
      <c r="E67" s="18"/>
      <c r="F67" s="18"/>
      <c r="G67" s="18"/>
      <c r="H67" s="18"/>
      <c r="I67" s="18"/>
      <c r="J67" s="18"/>
      <c r="K67" s="18"/>
      <c r="L67" s="18"/>
      <c r="M67" s="18"/>
      <c r="N67" s="18"/>
      <c r="O67" s="18"/>
      <c r="P67" s="3"/>
      <c r="Q67" s="18"/>
      <c r="R67" s="18"/>
      <c r="S67" s="18"/>
      <c r="T67" s="3"/>
      <c r="U67" s="3"/>
      <c r="V67" s="3"/>
    </row>
    <row r="68" spans="1:22" x14ac:dyDescent="0.25">
      <c r="A68" s="219"/>
      <c r="B68" s="3"/>
      <c r="C68" s="18"/>
      <c r="D68" s="18"/>
      <c r="E68" s="18"/>
      <c r="F68" s="18"/>
      <c r="G68" s="18"/>
      <c r="H68" s="18"/>
      <c r="I68" s="18"/>
      <c r="J68" s="18"/>
      <c r="K68" s="18"/>
      <c r="L68" s="18"/>
      <c r="M68" s="18"/>
      <c r="N68" s="18"/>
      <c r="O68" s="18"/>
      <c r="P68" s="3"/>
      <c r="Q68" s="18"/>
      <c r="R68" s="18"/>
      <c r="S68" s="18"/>
      <c r="T68" s="3"/>
      <c r="U68" s="3"/>
      <c r="V68" s="3"/>
    </row>
    <row r="69" spans="1:22" x14ac:dyDescent="0.25">
      <c r="A69" s="219"/>
      <c r="B69" s="3"/>
      <c r="C69" s="18"/>
      <c r="D69" s="18"/>
      <c r="E69" s="18"/>
      <c r="F69" s="18"/>
      <c r="G69" s="18"/>
      <c r="H69" s="18"/>
      <c r="I69" s="18"/>
      <c r="J69" s="18"/>
      <c r="K69" s="18"/>
      <c r="L69" s="18"/>
      <c r="M69" s="18"/>
      <c r="N69" s="18"/>
      <c r="O69" s="18"/>
      <c r="P69" s="3"/>
      <c r="Q69" s="18"/>
      <c r="R69" s="18"/>
      <c r="S69" s="18"/>
      <c r="T69" s="3"/>
      <c r="U69" s="3"/>
      <c r="V69" s="3"/>
    </row>
    <row r="70" spans="1:22" x14ac:dyDescent="0.25">
      <c r="A70" s="219"/>
      <c r="B70" s="3"/>
      <c r="C70" s="18"/>
      <c r="D70" s="18"/>
      <c r="E70" s="18"/>
      <c r="F70" s="18"/>
      <c r="G70" s="18"/>
      <c r="H70" s="18"/>
      <c r="I70" s="18"/>
      <c r="J70" s="18"/>
      <c r="K70" s="18"/>
      <c r="L70" s="18"/>
      <c r="M70" s="18"/>
      <c r="N70" s="18"/>
      <c r="O70" s="18"/>
      <c r="P70" s="3"/>
      <c r="Q70" s="18"/>
      <c r="R70" s="18"/>
      <c r="S70" s="18"/>
      <c r="T70" s="3"/>
      <c r="U70" s="3"/>
      <c r="V70" s="3"/>
    </row>
    <row r="71" spans="1:22" x14ac:dyDescent="0.25">
      <c r="A71" s="219"/>
      <c r="B71" s="3"/>
      <c r="C71" s="18"/>
      <c r="D71" s="18"/>
      <c r="E71" s="18"/>
      <c r="F71" s="18"/>
      <c r="G71" s="18"/>
      <c r="H71" s="18"/>
      <c r="I71" s="18"/>
      <c r="J71" s="18"/>
      <c r="K71" s="18"/>
      <c r="L71" s="18"/>
      <c r="M71" s="18"/>
      <c r="N71" s="18"/>
      <c r="O71" s="18"/>
      <c r="P71" s="3"/>
      <c r="Q71" s="18"/>
      <c r="R71" s="18"/>
      <c r="S71" s="18"/>
      <c r="T71" s="3"/>
      <c r="U71" s="3"/>
      <c r="V71" s="3"/>
    </row>
    <row r="72" spans="1:22" x14ac:dyDescent="0.25">
      <c r="A72" s="219"/>
      <c r="B72" s="3"/>
      <c r="C72" s="18"/>
      <c r="D72" s="18"/>
      <c r="E72" s="18"/>
      <c r="F72" s="18"/>
      <c r="G72" s="18"/>
      <c r="H72" s="18"/>
      <c r="I72" s="18"/>
      <c r="J72" s="18"/>
      <c r="K72" s="18"/>
      <c r="L72" s="18"/>
      <c r="M72" s="18"/>
      <c r="N72" s="18"/>
      <c r="O72" s="18"/>
      <c r="P72" s="3"/>
      <c r="Q72" s="18"/>
      <c r="R72" s="18"/>
      <c r="S72" s="18"/>
      <c r="T72" s="3"/>
      <c r="U72" s="3"/>
      <c r="V72" s="3"/>
    </row>
    <row r="73" spans="1:22" x14ac:dyDescent="0.25">
      <c r="A73" s="219"/>
      <c r="B73" s="3"/>
      <c r="C73" s="18"/>
      <c r="D73" s="18"/>
      <c r="E73" s="18"/>
      <c r="F73" s="18"/>
      <c r="G73" s="18"/>
      <c r="H73" s="18"/>
      <c r="I73" s="18"/>
      <c r="J73" s="18"/>
      <c r="K73" s="18"/>
      <c r="L73" s="18"/>
      <c r="M73" s="18"/>
      <c r="N73" s="18"/>
      <c r="O73" s="18"/>
      <c r="P73" s="3"/>
      <c r="Q73" s="18"/>
      <c r="R73" s="18"/>
      <c r="S73" s="18"/>
      <c r="T73" s="3"/>
      <c r="U73" s="3"/>
      <c r="V73" s="3"/>
    </row>
    <row r="74" spans="1:22" x14ac:dyDescent="0.25">
      <c r="A74" s="219"/>
      <c r="B74" s="3"/>
      <c r="C74" s="18"/>
      <c r="D74" s="18"/>
      <c r="E74" s="18"/>
      <c r="F74" s="18"/>
      <c r="G74" s="18"/>
      <c r="H74" s="18"/>
      <c r="I74" s="18"/>
      <c r="J74" s="18"/>
      <c r="K74" s="18"/>
      <c r="L74" s="18"/>
      <c r="M74" s="18"/>
      <c r="N74" s="18"/>
      <c r="O74" s="18"/>
      <c r="P74" s="3"/>
      <c r="Q74" s="18"/>
      <c r="R74" s="18"/>
      <c r="S74" s="18"/>
      <c r="T74" s="3"/>
      <c r="U74" s="3"/>
      <c r="V74" s="3"/>
    </row>
    <row r="75" spans="1:22" x14ac:dyDescent="0.25">
      <c r="A75" s="219"/>
      <c r="B75" s="3"/>
      <c r="C75" s="18"/>
      <c r="D75" s="18"/>
      <c r="E75" s="18"/>
      <c r="F75" s="18"/>
      <c r="G75" s="18"/>
      <c r="H75" s="18"/>
      <c r="I75" s="18"/>
      <c r="J75" s="18"/>
      <c r="K75" s="18"/>
      <c r="L75" s="18"/>
      <c r="M75" s="18"/>
      <c r="N75" s="18"/>
      <c r="O75" s="18"/>
      <c r="P75" s="3"/>
      <c r="Q75" s="18"/>
      <c r="R75" s="18"/>
      <c r="S75" s="18"/>
      <c r="T75" s="3"/>
      <c r="U75" s="3"/>
      <c r="V75" s="3"/>
    </row>
    <row r="76" spans="1:22" x14ac:dyDescent="0.25">
      <c r="A76" s="219"/>
      <c r="B76" s="3"/>
      <c r="C76" s="18"/>
      <c r="D76" s="18"/>
      <c r="E76" s="18"/>
      <c r="F76" s="18"/>
      <c r="G76" s="18"/>
      <c r="H76" s="18"/>
      <c r="I76" s="18"/>
      <c r="J76" s="18"/>
      <c r="K76" s="18"/>
      <c r="L76" s="18"/>
      <c r="M76" s="18"/>
      <c r="N76" s="18"/>
      <c r="O76" s="18"/>
      <c r="P76" s="3"/>
      <c r="Q76" s="18"/>
      <c r="R76" s="18"/>
      <c r="S76" s="18"/>
      <c r="T76" s="3"/>
      <c r="U76" s="3"/>
      <c r="V76" s="3"/>
    </row>
    <row r="77" spans="1:22" x14ac:dyDescent="0.25">
      <c r="A77" s="219"/>
      <c r="B77" s="3"/>
      <c r="C77" s="18"/>
      <c r="D77" s="18"/>
      <c r="E77" s="18"/>
      <c r="F77" s="18"/>
      <c r="G77" s="18"/>
      <c r="H77" s="18"/>
      <c r="I77" s="18"/>
      <c r="J77" s="18"/>
      <c r="K77" s="18"/>
      <c r="L77" s="18"/>
      <c r="M77" s="18"/>
      <c r="N77" s="18"/>
      <c r="O77" s="18"/>
      <c r="P77" s="3"/>
      <c r="Q77" s="18"/>
      <c r="R77" s="18"/>
      <c r="S77" s="18"/>
      <c r="T77" s="3"/>
      <c r="U77" s="3"/>
      <c r="V77" s="3"/>
    </row>
    <row r="78" spans="1:22" x14ac:dyDescent="0.25">
      <c r="A78" s="219"/>
      <c r="B78" s="3"/>
      <c r="C78" s="18"/>
      <c r="D78" s="18"/>
      <c r="E78" s="18"/>
      <c r="F78" s="18"/>
      <c r="G78" s="18"/>
      <c r="H78" s="18"/>
      <c r="I78" s="18"/>
      <c r="J78" s="18"/>
      <c r="K78" s="18"/>
      <c r="L78" s="18"/>
      <c r="M78" s="18"/>
      <c r="N78" s="18"/>
      <c r="O78" s="18"/>
      <c r="P78" s="3"/>
      <c r="Q78" s="18"/>
      <c r="R78" s="18"/>
      <c r="S78" s="18"/>
      <c r="T78" s="3"/>
      <c r="U78" s="3"/>
      <c r="V78" s="3"/>
    </row>
    <row r="79" spans="1:22" x14ac:dyDescent="0.25">
      <c r="A79" s="219"/>
      <c r="B79" s="3"/>
      <c r="C79" s="18"/>
      <c r="D79" s="18"/>
      <c r="E79" s="18"/>
      <c r="F79" s="18"/>
      <c r="G79" s="18"/>
      <c r="H79" s="18"/>
      <c r="I79" s="18"/>
      <c r="J79" s="18"/>
      <c r="K79" s="18"/>
      <c r="L79" s="18"/>
      <c r="M79" s="18"/>
      <c r="N79" s="18"/>
      <c r="O79" s="18"/>
      <c r="P79" s="3"/>
      <c r="Q79" s="18"/>
      <c r="R79" s="18"/>
      <c r="S79" s="18"/>
      <c r="T79" s="3"/>
      <c r="U79" s="3"/>
      <c r="V79" s="3"/>
    </row>
    <row r="80" spans="1:22" x14ac:dyDescent="0.25">
      <c r="A80" s="219"/>
      <c r="B80" s="3"/>
      <c r="C80" s="18"/>
      <c r="D80" s="18"/>
      <c r="E80" s="18"/>
      <c r="F80" s="18"/>
      <c r="G80" s="18"/>
      <c r="H80" s="18"/>
      <c r="I80" s="18"/>
      <c r="J80" s="18"/>
      <c r="K80" s="18"/>
      <c r="L80" s="18"/>
      <c r="M80" s="18"/>
      <c r="N80" s="18"/>
      <c r="O80" s="18"/>
      <c r="P80" s="3"/>
      <c r="Q80" s="18"/>
      <c r="R80" s="18"/>
      <c r="S80" s="18"/>
      <c r="T80" s="3"/>
      <c r="U80" s="3"/>
      <c r="V80" s="3"/>
    </row>
    <row r="81" spans="1:22" x14ac:dyDescent="0.25">
      <c r="A81" s="219"/>
      <c r="B81" s="3"/>
      <c r="C81" s="18"/>
      <c r="D81" s="18"/>
      <c r="E81" s="18"/>
      <c r="F81" s="18"/>
      <c r="G81" s="18"/>
      <c r="H81" s="18"/>
      <c r="I81" s="18"/>
      <c r="J81" s="18"/>
      <c r="K81" s="18"/>
      <c r="L81" s="18"/>
      <c r="M81" s="18"/>
      <c r="N81" s="18"/>
      <c r="O81" s="18"/>
      <c r="P81" s="3"/>
      <c r="Q81" s="18"/>
      <c r="R81" s="18"/>
      <c r="S81" s="18"/>
      <c r="T81" s="3"/>
      <c r="U81" s="3"/>
      <c r="V81" s="3"/>
    </row>
    <row r="82" spans="1:22" x14ac:dyDescent="0.25">
      <c r="A82" s="219"/>
      <c r="B82" s="3"/>
      <c r="C82" s="18"/>
      <c r="D82" s="18"/>
      <c r="E82" s="18"/>
      <c r="F82" s="18"/>
      <c r="G82" s="18"/>
      <c r="H82" s="18"/>
      <c r="I82" s="18"/>
      <c r="J82" s="18"/>
      <c r="K82" s="18"/>
      <c r="L82" s="18"/>
      <c r="M82" s="18"/>
      <c r="N82" s="18"/>
      <c r="O82" s="18"/>
      <c r="P82" s="3"/>
      <c r="Q82" s="18"/>
      <c r="R82" s="18"/>
      <c r="S82" s="18"/>
      <c r="T82" s="3"/>
      <c r="U82" s="3"/>
      <c r="V82" s="3"/>
    </row>
    <row r="83" spans="1:22" x14ac:dyDescent="0.25">
      <c r="A83" s="219"/>
      <c r="B83" s="3"/>
      <c r="C83" s="18"/>
      <c r="D83" s="18"/>
      <c r="E83" s="18"/>
      <c r="F83" s="18"/>
      <c r="G83" s="18"/>
      <c r="H83" s="18"/>
      <c r="I83" s="18"/>
      <c r="J83" s="18"/>
      <c r="K83" s="18"/>
      <c r="L83" s="18"/>
      <c r="M83" s="18"/>
      <c r="N83" s="18"/>
      <c r="O83" s="18"/>
      <c r="P83" s="3"/>
      <c r="Q83" s="18"/>
      <c r="R83" s="18"/>
      <c r="S83" s="18"/>
      <c r="T83" s="3"/>
      <c r="U83" s="3"/>
      <c r="V83" s="3"/>
    </row>
    <row r="84" spans="1:22" x14ac:dyDescent="0.25">
      <c r="A84" s="219"/>
      <c r="B84" s="3"/>
      <c r="C84" s="18"/>
      <c r="D84" s="18"/>
      <c r="E84" s="18"/>
      <c r="F84" s="18"/>
      <c r="G84" s="18"/>
      <c r="H84" s="18"/>
      <c r="I84" s="18"/>
      <c r="J84" s="18"/>
      <c r="K84" s="18"/>
      <c r="L84" s="18"/>
      <c r="M84" s="18"/>
      <c r="N84" s="18"/>
      <c r="O84" s="18"/>
      <c r="P84" s="3"/>
      <c r="Q84" s="18"/>
      <c r="R84" s="18"/>
      <c r="S84" s="18"/>
      <c r="T84" s="3"/>
      <c r="U84" s="3"/>
      <c r="V84" s="3"/>
    </row>
    <row r="85" spans="1:22" x14ac:dyDescent="0.25">
      <c r="A85" s="219"/>
      <c r="B85" s="3"/>
      <c r="C85" s="18"/>
      <c r="D85" s="18"/>
      <c r="E85" s="18"/>
      <c r="F85" s="18"/>
      <c r="G85" s="18"/>
      <c r="H85" s="18"/>
      <c r="I85" s="18"/>
      <c r="J85" s="18"/>
      <c r="K85" s="18"/>
      <c r="L85" s="18"/>
      <c r="M85" s="18"/>
      <c r="N85" s="18"/>
      <c r="O85" s="18"/>
      <c r="P85" s="3"/>
      <c r="Q85" s="18"/>
      <c r="R85" s="18"/>
      <c r="S85" s="18"/>
      <c r="T85" s="3"/>
      <c r="U85" s="3"/>
      <c r="V85" s="3"/>
    </row>
    <row r="86" spans="1:22" x14ac:dyDescent="0.25">
      <c r="A86" s="219"/>
      <c r="B86" s="3"/>
      <c r="C86" s="18"/>
      <c r="D86" s="18"/>
      <c r="E86" s="18"/>
      <c r="F86" s="18"/>
      <c r="G86" s="18"/>
      <c r="H86" s="18"/>
      <c r="I86" s="18"/>
      <c r="J86" s="18"/>
      <c r="K86" s="18"/>
      <c r="L86" s="18"/>
      <c r="M86" s="18"/>
      <c r="N86" s="18"/>
      <c r="O86" s="18"/>
      <c r="P86" s="3"/>
      <c r="Q86" s="18"/>
      <c r="R86" s="18"/>
      <c r="S86" s="18"/>
      <c r="T86" s="3"/>
      <c r="U86" s="3"/>
      <c r="V86" s="3"/>
    </row>
    <row r="87" spans="1:22" x14ac:dyDescent="0.25">
      <c r="A87" s="219"/>
      <c r="B87" s="3"/>
      <c r="C87" s="18"/>
      <c r="D87" s="18"/>
      <c r="E87" s="18"/>
      <c r="F87" s="18"/>
      <c r="G87" s="18"/>
      <c r="H87" s="18"/>
      <c r="I87" s="18"/>
      <c r="J87" s="18"/>
      <c r="K87" s="18"/>
      <c r="L87" s="18"/>
      <c r="M87" s="18"/>
      <c r="N87" s="18"/>
      <c r="O87" s="18"/>
      <c r="P87" s="3"/>
      <c r="Q87" s="18"/>
      <c r="R87" s="18"/>
      <c r="S87" s="18"/>
      <c r="T87" s="3"/>
      <c r="U87" s="3"/>
      <c r="V87" s="3"/>
    </row>
    <row r="88" spans="1:22" x14ac:dyDescent="0.25">
      <c r="A88" s="219"/>
      <c r="B88" s="3"/>
      <c r="C88" s="18"/>
      <c r="D88" s="18"/>
      <c r="E88" s="18"/>
      <c r="F88" s="18"/>
      <c r="G88" s="18"/>
      <c r="H88" s="18"/>
      <c r="I88" s="18"/>
      <c r="J88" s="18"/>
      <c r="K88" s="18"/>
      <c r="L88" s="18"/>
      <c r="M88" s="18"/>
      <c r="N88" s="18"/>
      <c r="O88" s="18"/>
      <c r="P88" s="3"/>
      <c r="Q88" s="18"/>
      <c r="R88" s="18"/>
      <c r="S88" s="18"/>
      <c r="T88" s="3"/>
      <c r="U88" s="3"/>
      <c r="V88" s="3"/>
    </row>
    <row r="89" spans="1:22" x14ac:dyDescent="0.25">
      <c r="A89" s="219"/>
      <c r="B89" s="3"/>
      <c r="C89" s="18"/>
      <c r="D89" s="18"/>
      <c r="E89" s="18"/>
      <c r="F89" s="18"/>
      <c r="G89" s="18"/>
      <c r="H89" s="18"/>
      <c r="I89" s="18"/>
      <c r="J89" s="18"/>
      <c r="K89" s="18"/>
      <c r="L89" s="18"/>
      <c r="M89" s="18"/>
      <c r="N89" s="18"/>
      <c r="O89" s="18"/>
      <c r="P89" s="3"/>
      <c r="Q89" s="18"/>
      <c r="R89" s="18"/>
      <c r="S89" s="18"/>
      <c r="T89" s="3"/>
      <c r="U89" s="3"/>
      <c r="V89" s="3"/>
    </row>
    <row r="90" spans="1:22" x14ac:dyDescent="0.25">
      <c r="A90" s="219"/>
      <c r="B90" s="3"/>
      <c r="C90" s="18"/>
      <c r="D90" s="18"/>
      <c r="E90" s="18"/>
      <c r="F90" s="18"/>
      <c r="G90" s="18"/>
      <c r="H90" s="18"/>
      <c r="I90" s="18"/>
      <c r="J90" s="18"/>
      <c r="K90" s="18"/>
      <c r="L90" s="18"/>
      <c r="M90" s="18"/>
      <c r="N90" s="18"/>
      <c r="O90" s="18"/>
      <c r="P90" s="3"/>
      <c r="Q90" s="18"/>
      <c r="R90" s="18"/>
      <c r="S90" s="18"/>
      <c r="T90" s="3"/>
      <c r="U90" s="3"/>
      <c r="V90" s="3"/>
    </row>
    <row r="91" spans="1:22" x14ac:dyDescent="0.25">
      <c r="A91" s="219"/>
      <c r="B91" s="3"/>
      <c r="C91" s="18"/>
      <c r="D91" s="18"/>
      <c r="E91" s="18"/>
      <c r="F91" s="18"/>
      <c r="G91" s="18"/>
      <c r="H91" s="18"/>
      <c r="I91" s="18"/>
      <c r="J91" s="18"/>
      <c r="K91" s="18"/>
      <c r="L91" s="18"/>
      <c r="M91" s="18"/>
      <c r="N91" s="18"/>
      <c r="O91" s="18"/>
      <c r="P91" s="3"/>
      <c r="Q91" s="18"/>
      <c r="R91" s="18"/>
      <c r="S91" s="18"/>
      <c r="T91" s="3"/>
      <c r="U91" s="3"/>
      <c r="V91" s="3"/>
    </row>
    <row r="92" spans="1:22" x14ac:dyDescent="0.25">
      <c r="A92" s="219"/>
      <c r="B92" s="3"/>
      <c r="C92" s="18"/>
      <c r="D92" s="18"/>
      <c r="E92" s="18"/>
      <c r="F92" s="18"/>
      <c r="G92" s="18"/>
      <c r="H92" s="18"/>
      <c r="I92" s="18"/>
      <c r="J92" s="18"/>
      <c r="K92" s="18"/>
      <c r="L92" s="18"/>
      <c r="M92" s="18"/>
      <c r="N92" s="18"/>
      <c r="O92" s="18"/>
      <c r="P92" s="3"/>
      <c r="Q92" s="18"/>
      <c r="R92" s="18"/>
      <c r="S92" s="18"/>
      <c r="T92" s="3"/>
      <c r="U92" s="3"/>
      <c r="V92" s="3"/>
    </row>
    <row r="93" spans="1:22" x14ac:dyDescent="0.25">
      <c r="A93" s="219"/>
      <c r="B93" s="3"/>
      <c r="C93" s="18"/>
      <c r="D93" s="18"/>
      <c r="E93" s="18"/>
      <c r="F93" s="18"/>
      <c r="G93" s="18"/>
      <c r="H93" s="18"/>
      <c r="I93" s="18"/>
      <c r="J93" s="18"/>
      <c r="K93" s="18"/>
      <c r="L93" s="18"/>
      <c r="M93" s="18"/>
      <c r="N93" s="18"/>
      <c r="O93" s="18"/>
      <c r="P93" s="3"/>
      <c r="Q93" s="18"/>
      <c r="R93" s="18"/>
      <c r="S93" s="18"/>
      <c r="T93" s="3"/>
      <c r="U93" s="3"/>
      <c r="V93" s="3"/>
    </row>
    <row r="94" spans="1:22" x14ac:dyDescent="0.25">
      <c r="A94" s="219"/>
      <c r="B94" s="3"/>
      <c r="C94" s="18"/>
      <c r="D94" s="18"/>
      <c r="E94" s="18"/>
      <c r="F94" s="18"/>
      <c r="G94" s="18"/>
      <c r="H94" s="18"/>
      <c r="I94" s="18"/>
      <c r="J94" s="18"/>
      <c r="K94" s="18"/>
      <c r="L94" s="18"/>
      <c r="M94" s="18"/>
      <c r="N94" s="18"/>
      <c r="O94" s="18"/>
      <c r="P94" s="3"/>
      <c r="Q94" s="18"/>
      <c r="R94" s="18"/>
      <c r="S94" s="18"/>
      <c r="T94" s="3"/>
      <c r="U94" s="3"/>
      <c r="V94" s="3"/>
    </row>
    <row r="95" spans="1:22" x14ac:dyDescent="0.25">
      <c r="A95" s="219"/>
      <c r="B95" s="3"/>
      <c r="C95" s="18"/>
      <c r="D95" s="18"/>
      <c r="E95" s="18"/>
      <c r="F95" s="18"/>
      <c r="G95" s="18"/>
      <c r="H95" s="18"/>
      <c r="I95" s="18"/>
      <c r="J95" s="18"/>
      <c r="K95" s="18"/>
      <c r="L95" s="18"/>
      <c r="M95" s="18"/>
      <c r="N95" s="18"/>
      <c r="O95" s="18"/>
      <c r="P95" s="3"/>
      <c r="Q95" s="18"/>
      <c r="R95" s="18"/>
      <c r="S95" s="18"/>
      <c r="T95" s="3"/>
      <c r="U95" s="3"/>
      <c r="V95" s="3"/>
    </row>
    <row r="96" spans="1:22" x14ac:dyDescent="0.25">
      <c r="A96" s="219"/>
      <c r="B96" s="3"/>
      <c r="C96" s="18"/>
      <c r="D96" s="18"/>
      <c r="E96" s="18"/>
      <c r="F96" s="18"/>
      <c r="G96" s="18"/>
      <c r="H96" s="18"/>
      <c r="I96" s="18"/>
      <c r="J96" s="18"/>
      <c r="K96" s="18"/>
      <c r="L96" s="18"/>
      <c r="M96" s="18"/>
      <c r="N96" s="18"/>
      <c r="O96" s="18"/>
      <c r="P96" s="3"/>
      <c r="Q96" s="18"/>
      <c r="R96" s="18"/>
      <c r="S96" s="18"/>
      <c r="T96" s="3"/>
      <c r="U96" s="3"/>
      <c r="V96" s="3"/>
    </row>
    <row r="97" spans="1:22" x14ac:dyDescent="0.25">
      <c r="A97" s="219"/>
      <c r="B97" s="3"/>
      <c r="C97" s="18"/>
      <c r="D97" s="18"/>
      <c r="E97" s="18"/>
      <c r="F97" s="18"/>
      <c r="G97" s="18"/>
      <c r="H97" s="18"/>
      <c r="I97" s="18"/>
      <c r="J97" s="18"/>
      <c r="K97" s="18"/>
      <c r="L97" s="18"/>
      <c r="M97" s="18"/>
      <c r="N97" s="18"/>
      <c r="O97" s="18"/>
      <c r="P97" s="3"/>
      <c r="Q97" s="18"/>
      <c r="R97" s="18"/>
      <c r="S97" s="18"/>
      <c r="T97" s="3"/>
      <c r="U97" s="3"/>
      <c r="V97" s="3"/>
    </row>
    <row r="98" spans="1:22" x14ac:dyDescent="0.25">
      <c r="A98" s="219"/>
      <c r="B98" s="3"/>
      <c r="C98" s="18"/>
      <c r="D98" s="18"/>
      <c r="E98" s="18"/>
      <c r="F98" s="18"/>
      <c r="G98" s="18"/>
      <c r="H98" s="18"/>
      <c r="I98" s="18"/>
      <c r="J98" s="18"/>
      <c r="K98" s="18"/>
      <c r="L98" s="18"/>
      <c r="M98" s="18"/>
      <c r="N98" s="18"/>
      <c r="O98" s="18"/>
      <c r="P98" s="3"/>
      <c r="Q98" s="18"/>
      <c r="R98" s="18"/>
      <c r="S98" s="18"/>
      <c r="T98" s="3"/>
      <c r="U98" s="3"/>
      <c r="V98" s="3"/>
    </row>
    <row r="99" spans="1:22" x14ac:dyDescent="0.25">
      <c r="A99" s="219"/>
      <c r="B99" s="3"/>
      <c r="C99" s="18"/>
      <c r="D99" s="18"/>
      <c r="E99" s="18"/>
      <c r="F99" s="18"/>
      <c r="G99" s="18"/>
      <c r="H99" s="18"/>
      <c r="I99" s="18"/>
      <c r="J99" s="18"/>
      <c r="K99" s="18"/>
      <c r="L99" s="18"/>
      <c r="M99" s="18"/>
      <c r="N99" s="18"/>
      <c r="O99" s="18"/>
      <c r="P99" s="3"/>
      <c r="Q99" s="18"/>
      <c r="R99" s="18"/>
      <c r="S99" s="18"/>
      <c r="T99" s="3"/>
      <c r="U99" s="3"/>
      <c r="V99" s="3"/>
    </row>
    <row r="100" spans="1:22" x14ac:dyDescent="0.25">
      <c r="A100" s="219"/>
      <c r="B100" s="3"/>
      <c r="C100" s="18"/>
      <c r="D100" s="18"/>
      <c r="E100" s="18"/>
      <c r="F100" s="18"/>
      <c r="G100" s="18"/>
      <c r="H100" s="18"/>
      <c r="I100" s="18"/>
      <c r="J100" s="18"/>
      <c r="K100" s="18"/>
      <c r="L100" s="18"/>
      <c r="M100" s="18"/>
      <c r="N100" s="18"/>
      <c r="O100" s="18"/>
      <c r="P100" s="3"/>
      <c r="Q100" s="18"/>
      <c r="R100" s="18"/>
      <c r="S100" s="18"/>
      <c r="T100" s="3"/>
      <c r="U100" s="3"/>
      <c r="V100" s="3"/>
    </row>
    <row r="101" spans="1:22" x14ac:dyDescent="0.25">
      <c r="A101" s="219"/>
      <c r="B101" s="3"/>
      <c r="C101" s="18"/>
      <c r="D101" s="18"/>
      <c r="E101" s="18"/>
      <c r="F101" s="18"/>
      <c r="G101" s="18"/>
      <c r="H101" s="18"/>
      <c r="I101" s="18"/>
      <c r="J101" s="18"/>
      <c r="K101" s="18"/>
      <c r="L101" s="18"/>
      <c r="M101" s="18"/>
      <c r="N101" s="18"/>
      <c r="O101" s="18"/>
      <c r="P101" s="3"/>
      <c r="Q101" s="18"/>
      <c r="R101" s="18"/>
      <c r="S101" s="18"/>
      <c r="T101" s="3"/>
      <c r="U101" s="3"/>
      <c r="V101" s="3"/>
    </row>
    <row r="102" spans="1:22" x14ac:dyDescent="0.25">
      <c r="A102" s="219"/>
      <c r="B102" s="3"/>
      <c r="C102" s="18"/>
      <c r="D102" s="18"/>
      <c r="E102" s="18"/>
      <c r="F102" s="18"/>
      <c r="G102" s="18"/>
      <c r="H102" s="18"/>
      <c r="I102" s="18"/>
      <c r="J102" s="18"/>
      <c r="K102" s="18"/>
      <c r="L102" s="18"/>
      <c r="M102" s="18"/>
      <c r="N102" s="18"/>
      <c r="O102" s="18"/>
      <c r="P102" s="3"/>
      <c r="Q102" s="18"/>
      <c r="R102" s="18"/>
      <c r="S102" s="18"/>
      <c r="T102" s="3"/>
      <c r="U102" s="3"/>
      <c r="V102" s="3"/>
    </row>
    <row r="103" spans="1:22" x14ac:dyDescent="0.25">
      <c r="A103" s="219"/>
      <c r="B103" s="3"/>
      <c r="C103" s="18"/>
      <c r="D103" s="18"/>
      <c r="E103" s="18"/>
      <c r="F103" s="18"/>
      <c r="G103" s="18"/>
      <c r="H103" s="18"/>
      <c r="I103" s="18"/>
      <c r="J103" s="18"/>
      <c r="K103" s="18"/>
      <c r="L103" s="18"/>
      <c r="M103" s="18"/>
      <c r="N103" s="18"/>
      <c r="O103" s="18"/>
      <c r="P103" s="3"/>
      <c r="Q103" s="18"/>
      <c r="R103" s="18"/>
      <c r="S103" s="18"/>
      <c r="T103" s="3"/>
      <c r="U103" s="3"/>
      <c r="V103" s="3"/>
    </row>
    <row r="104" spans="1:22" x14ac:dyDescent="0.25">
      <c r="A104" s="219"/>
      <c r="B104" s="3"/>
      <c r="C104" s="18"/>
      <c r="D104" s="18"/>
      <c r="E104" s="18"/>
      <c r="F104" s="18"/>
      <c r="G104" s="18"/>
      <c r="H104" s="18"/>
      <c r="I104" s="18"/>
      <c r="J104" s="18"/>
      <c r="K104" s="18"/>
      <c r="L104" s="18"/>
      <c r="M104" s="18"/>
      <c r="N104" s="18"/>
      <c r="O104" s="18"/>
      <c r="P104" s="3"/>
      <c r="Q104" s="18"/>
      <c r="R104" s="18"/>
      <c r="S104" s="18"/>
      <c r="T104" s="3"/>
      <c r="U104" s="3"/>
      <c r="V104" s="3"/>
    </row>
    <row r="105" spans="1:22" x14ac:dyDescent="0.25">
      <c r="A105" s="219"/>
      <c r="B105" s="3"/>
      <c r="C105" s="18"/>
      <c r="D105" s="18"/>
      <c r="E105" s="18"/>
      <c r="F105" s="18"/>
      <c r="G105" s="18"/>
      <c r="H105" s="18"/>
      <c r="I105" s="18"/>
      <c r="J105" s="18"/>
      <c r="K105" s="18"/>
      <c r="L105" s="18"/>
      <c r="M105" s="18"/>
      <c r="N105" s="18"/>
      <c r="O105" s="18"/>
      <c r="P105" s="3"/>
      <c r="Q105" s="18"/>
      <c r="R105" s="18"/>
      <c r="S105" s="18"/>
      <c r="T105" s="3"/>
      <c r="U105" s="3"/>
      <c r="V105" s="3"/>
    </row>
    <row r="106" spans="1:22" x14ac:dyDescent="0.25">
      <c r="A106" s="219"/>
      <c r="B106" s="3"/>
      <c r="C106" s="18"/>
      <c r="D106" s="18"/>
      <c r="E106" s="18"/>
      <c r="F106" s="18"/>
      <c r="G106" s="18"/>
      <c r="H106" s="18"/>
      <c r="I106" s="18"/>
      <c r="J106" s="18"/>
      <c r="K106" s="18"/>
      <c r="L106" s="18"/>
      <c r="M106" s="18"/>
      <c r="N106" s="18"/>
      <c r="O106" s="18"/>
      <c r="P106" s="3"/>
      <c r="Q106" s="18"/>
      <c r="R106" s="18"/>
      <c r="S106" s="18"/>
      <c r="T106" s="3"/>
      <c r="U106" s="3"/>
      <c r="V106" s="3"/>
    </row>
    <row r="107" spans="1:22" x14ac:dyDescent="0.25">
      <c r="A107" s="219"/>
      <c r="B107" s="3"/>
      <c r="C107" s="18"/>
      <c r="D107" s="18"/>
      <c r="E107" s="18"/>
      <c r="F107" s="18"/>
      <c r="G107" s="18"/>
      <c r="H107" s="18"/>
      <c r="I107" s="18"/>
      <c r="J107" s="18"/>
      <c r="K107" s="18"/>
      <c r="L107" s="18"/>
      <c r="M107" s="18"/>
      <c r="N107" s="18"/>
      <c r="O107" s="18"/>
      <c r="P107" s="3"/>
      <c r="Q107" s="18"/>
      <c r="R107" s="18"/>
      <c r="S107" s="18"/>
      <c r="T107" s="3"/>
      <c r="U107" s="3"/>
      <c r="V107" s="3"/>
    </row>
    <row r="108" spans="1:22" x14ac:dyDescent="0.25">
      <c r="A108" s="219"/>
      <c r="B108" s="3"/>
      <c r="C108" s="18"/>
      <c r="D108" s="18"/>
      <c r="E108" s="18"/>
      <c r="F108" s="18"/>
      <c r="G108" s="18"/>
      <c r="H108" s="18"/>
      <c r="I108" s="18"/>
      <c r="J108" s="18"/>
      <c r="K108" s="18"/>
      <c r="L108" s="18"/>
      <c r="M108" s="18"/>
      <c r="N108" s="18"/>
      <c r="O108" s="18"/>
      <c r="P108" s="3"/>
      <c r="Q108" s="18"/>
      <c r="R108" s="18"/>
      <c r="S108" s="18"/>
      <c r="T108" s="3"/>
      <c r="U108" s="3"/>
      <c r="V108" s="3"/>
    </row>
    <row r="109" spans="1:22" x14ac:dyDescent="0.25">
      <c r="A109" s="219"/>
      <c r="B109" s="3"/>
      <c r="C109" s="18"/>
      <c r="D109" s="18"/>
      <c r="E109" s="18"/>
      <c r="F109" s="18"/>
      <c r="G109" s="18"/>
      <c r="H109" s="18"/>
      <c r="I109" s="18"/>
      <c r="J109" s="18"/>
      <c r="K109" s="18"/>
      <c r="L109" s="18"/>
      <c r="M109" s="18"/>
      <c r="N109" s="18"/>
      <c r="O109" s="18"/>
      <c r="P109" s="3"/>
      <c r="Q109" s="18"/>
      <c r="R109" s="18"/>
      <c r="S109" s="18"/>
      <c r="T109" s="3"/>
      <c r="U109" s="3"/>
      <c r="V109" s="3"/>
    </row>
    <row r="110" spans="1:22" x14ac:dyDescent="0.25">
      <c r="A110" s="219"/>
      <c r="B110" s="3"/>
      <c r="C110" s="18"/>
      <c r="D110" s="18"/>
      <c r="E110" s="18"/>
      <c r="F110" s="18"/>
      <c r="G110" s="18"/>
      <c r="H110" s="18"/>
      <c r="I110" s="18"/>
      <c r="J110" s="18"/>
      <c r="K110" s="18"/>
      <c r="L110" s="18"/>
      <c r="M110" s="18"/>
      <c r="N110" s="18"/>
      <c r="O110" s="18"/>
      <c r="P110" s="3"/>
      <c r="Q110" s="18"/>
      <c r="R110" s="18"/>
      <c r="S110" s="18"/>
      <c r="T110" s="3"/>
      <c r="U110" s="3"/>
      <c r="V110" s="3"/>
    </row>
    <row r="111" spans="1:22" x14ac:dyDescent="0.25">
      <c r="A111" s="219"/>
      <c r="B111" s="3"/>
      <c r="C111" s="18"/>
      <c r="D111" s="18"/>
      <c r="E111" s="18"/>
      <c r="F111" s="18"/>
      <c r="G111" s="18"/>
      <c r="H111" s="18"/>
      <c r="I111" s="18"/>
      <c r="J111" s="18"/>
      <c r="K111" s="18"/>
      <c r="L111" s="18"/>
      <c r="M111" s="18"/>
      <c r="N111" s="18"/>
      <c r="O111" s="18"/>
      <c r="P111" s="3"/>
      <c r="Q111" s="18"/>
      <c r="R111" s="18"/>
      <c r="S111" s="18"/>
      <c r="T111" s="3"/>
      <c r="U111" s="3"/>
      <c r="V111" s="3"/>
    </row>
    <row r="112" spans="1:22" x14ac:dyDescent="0.25">
      <c r="A112" s="219"/>
      <c r="B112" s="3"/>
      <c r="C112" s="18"/>
      <c r="D112" s="18"/>
      <c r="E112" s="18"/>
      <c r="F112" s="18"/>
      <c r="G112" s="18"/>
      <c r="H112" s="18"/>
      <c r="I112" s="18"/>
      <c r="J112" s="18"/>
      <c r="K112" s="18"/>
      <c r="L112" s="18"/>
      <c r="M112" s="18"/>
      <c r="N112" s="18"/>
      <c r="O112" s="18"/>
      <c r="P112" s="3"/>
      <c r="Q112" s="18"/>
      <c r="R112" s="18"/>
      <c r="S112" s="18"/>
      <c r="T112" s="3"/>
      <c r="U112" s="3"/>
      <c r="V112" s="3"/>
    </row>
    <row r="113" spans="1:22" x14ac:dyDescent="0.25">
      <c r="A113" s="219"/>
      <c r="B113" s="3"/>
      <c r="C113" s="18"/>
      <c r="D113" s="18"/>
      <c r="E113" s="18"/>
      <c r="F113" s="18"/>
      <c r="G113" s="18"/>
      <c r="H113" s="18"/>
      <c r="I113" s="18"/>
      <c r="J113" s="18"/>
      <c r="K113" s="18"/>
      <c r="L113" s="18"/>
      <c r="M113" s="18"/>
      <c r="N113" s="18"/>
      <c r="O113" s="18"/>
      <c r="P113" s="3"/>
      <c r="Q113" s="18"/>
      <c r="R113" s="18"/>
      <c r="S113" s="18"/>
      <c r="T113" s="3"/>
      <c r="U113" s="3"/>
      <c r="V113" s="3"/>
    </row>
    <row r="114" spans="1:22" x14ac:dyDescent="0.25">
      <c r="A114" s="219"/>
      <c r="B114" s="3"/>
      <c r="C114" s="18"/>
      <c r="D114" s="18"/>
      <c r="E114" s="18"/>
      <c r="F114" s="18"/>
      <c r="G114" s="18"/>
      <c r="H114" s="18"/>
      <c r="I114" s="18"/>
      <c r="J114" s="18"/>
      <c r="K114" s="18"/>
      <c r="L114" s="18"/>
      <c r="M114" s="18"/>
      <c r="N114" s="18"/>
      <c r="O114" s="18"/>
      <c r="P114" s="3"/>
      <c r="Q114" s="18"/>
      <c r="R114" s="18"/>
      <c r="S114" s="18"/>
      <c r="T114" s="3"/>
      <c r="U114" s="3"/>
      <c r="V114" s="3"/>
    </row>
    <row r="115" spans="1:22" x14ac:dyDescent="0.25">
      <c r="A115" s="219"/>
      <c r="B115" s="3"/>
      <c r="C115" s="18"/>
      <c r="D115" s="18"/>
      <c r="E115" s="18"/>
      <c r="F115" s="18"/>
      <c r="G115" s="18"/>
      <c r="H115" s="18"/>
      <c r="I115" s="18"/>
      <c r="J115" s="18"/>
      <c r="K115" s="18"/>
      <c r="L115" s="18"/>
      <c r="M115" s="18"/>
      <c r="N115" s="18"/>
      <c r="O115" s="18"/>
      <c r="P115" s="3"/>
      <c r="Q115" s="18"/>
      <c r="R115" s="18"/>
      <c r="S115" s="18"/>
      <c r="T115" s="3"/>
      <c r="U115" s="3"/>
      <c r="V115" s="3"/>
    </row>
    <row r="116" spans="1:22" x14ac:dyDescent="0.25">
      <c r="C116" s="99"/>
      <c r="D116" s="99"/>
      <c r="E116" s="99"/>
      <c r="F116" s="99"/>
      <c r="G116" s="99"/>
      <c r="H116" s="99"/>
      <c r="I116" s="99"/>
      <c r="J116" s="99"/>
      <c r="K116" s="99"/>
      <c r="L116" s="99"/>
      <c r="M116" s="99"/>
      <c r="N116" s="99"/>
      <c r="O116" s="99"/>
    </row>
    <row r="117" spans="1:22" x14ac:dyDescent="0.25">
      <c r="C117" s="99"/>
    </row>
    <row r="118" spans="1:22" x14ac:dyDescent="0.25">
      <c r="C118" s="99"/>
    </row>
    <row r="119" spans="1:22" x14ac:dyDescent="0.25">
      <c r="C119" s="99"/>
    </row>
    <row r="120" spans="1:22" x14ac:dyDescent="0.25">
      <c r="C120" s="99"/>
    </row>
    <row r="121" spans="1:22" x14ac:dyDescent="0.25">
      <c r="C121" s="99"/>
    </row>
    <row r="122" spans="1:22" x14ac:dyDescent="0.25">
      <c r="C122" s="99"/>
    </row>
    <row r="123" spans="1:22" x14ac:dyDescent="0.25">
      <c r="C123" s="99"/>
    </row>
    <row r="124" spans="1:22" x14ac:dyDescent="0.25">
      <c r="C124" s="99"/>
    </row>
    <row r="125" spans="1:22" x14ac:dyDescent="0.25">
      <c r="C125" s="99"/>
    </row>
    <row r="126" spans="1:22" x14ac:dyDescent="0.25">
      <c r="C126" s="99"/>
    </row>
    <row r="127" spans="1:22" x14ac:dyDescent="0.25">
      <c r="C127" s="99"/>
    </row>
    <row r="128" spans="1:22" x14ac:dyDescent="0.25">
      <c r="C128" s="99"/>
    </row>
    <row r="129" spans="3:3" x14ac:dyDescent="0.25">
      <c r="C129" s="99"/>
    </row>
    <row r="130" spans="3:3" x14ac:dyDescent="0.25">
      <c r="C130" s="99"/>
    </row>
    <row r="131" spans="3:3" x14ac:dyDescent="0.25">
      <c r="C131" s="99"/>
    </row>
    <row r="132" spans="3:3" x14ac:dyDescent="0.25">
      <c r="C132" s="99"/>
    </row>
    <row r="133" spans="3:3" x14ac:dyDescent="0.25">
      <c r="C133" s="99"/>
    </row>
    <row r="134" spans="3:3" x14ac:dyDescent="0.25">
      <c r="C134" s="99"/>
    </row>
    <row r="135" spans="3:3" x14ac:dyDescent="0.25">
      <c r="C135" s="99"/>
    </row>
    <row r="136" spans="3:3" x14ac:dyDescent="0.25">
      <c r="C136" s="99"/>
    </row>
    <row r="137" spans="3:3" x14ac:dyDescent="0.25">
      <c r="C137" s="99"/>
    </row>
    <row r="138" spans="3:3" x14ac:dyDescent="0.25">
      <c r="C138" s="99"/>
    </row>
    <row r="139" spans="3:3" x14ac:dyDescent="0.25">
      <c r="C139" s="99"/>
    </row>
    <row r="140" spans="3:3" x14ac:dyDescent="0.25">
      <c r="C140" s="99"/>
    </row>
    <row r="141" spans="3:3" x14ac:dyDescent="0.25">
      <c r="C141" s="99"/>
    </row>
    <row r="142" spans="3:3" x14ac:dyDescent="0.25">
      <c r="C142" s="99"/>
    </row>
    <row r="143" spans="3:3" x14ac:dyDescent="0.25">
      <c r="C143" s="99"/>
    </row>
    <row r="144" spans="3:3" x14ac:dyDescent="0.25">
      <c r="C144" s="99"/>
    </row>
    <row r="145" spans="3:3" x14ac:dyDescent="0.25">
      <c r="C145" s="99"/>
    </row>
    <row r="146" spans="3:3" x14ac:dyDescent="0.25">
      <c r="C146" s="99"/>
    </row>
    <row r="147" spans="3:3" x14ac:dyDescent="0.25">
      <c r="C147" s="99"/>
    </row>
    <row r="148" spans="3:3" x14ac:dyDescent="0.25">
      <c r="C148" s="99"/>
    </row>
    <row r="149" spans="3:3" x14ac:dyDescent="0.25">
      <c r="C149" s="99"/>
    </row>
    <row r="150" spans="3:3" x14ac:dyDescent="0.25">
      <c r="C150" s="99"/>
    </row>
    <row r="151" spans="3:3" x14ac:dyDescent="0.25">
      <c r="C151" s="99"/>
    </row>
    <row r="152" spans="3:3" x14ac:dyDescent="0.25">
      <c r="C152" s="99"/>
    </row>
    <row r="153" spans="3:3" x14ac:dyDescent="0.25">
      <c r="C153" s="99"/>
    </row>
    <row r="154" spans="3:3" x14ac:dyDescent="0.25">
      <c r="C154" s="99"/>
    </row>
    <row r="155" spans="3:3" x14ac:dyDescent="0.25">
      <c r="C155" s="99"/>
    </row>
    <row r="156" spans="3:3" x14ac:dyDescent="0.25">
      <c r="C156" s="99"/>
    </row>
    <row r="157" spans="3:3" x14ac:dyDescent="0.25">
      <c r="C157" s="99"/>
    </row>
    <row r="158" spans="3:3" x14ac:dyDescent="0.25">
      <c r="C158" s="99"/>
    </row>
    <row r="159" spans="3:3" x14ac:dyDescent="0.25">
      <c r="C159" s="99"/>
    </row>
    <row r="160" spans="3:3" x14ac:dyDescent="0.25">
      <c r="C160" s="99"/>
    </row>
    <row r="161" spans="3:3" x14ac:dyDescent="0.25">
      <c r="C161" s="99"/>
    </row>
    <row r="162" spans="3:3" x14ac:dyDescent="0.25">
      <c r="C162" s="99"/>
    </row>
    <row r="163" spans="3:3" x14ac:dyDescent="0.25">
      <c r="C163" s="99"/>
    </row>
    <row r="164" spans="3:3" x14ac:dyDescent="0.25">
      <c r="C164" s="99"/>
    </row>
  </sheetData>
  <phoneticPr fontId="0" type="noConversion"/>
  <hyperlinks>
    <hyperlink ref="A1" location="'Working Budget with funding det'!A1" display="Main " xr:uid="{00000000-0004-0000-3A00-000000000000}"/>
    <hyperlink ref="B1" location="'Table of Contents'!A1" display="TOC" xr:uid="{00000000-0004-0000-3A00-000001000000}"/>
  </hyperlinks>
  <pageMargins left="0.75" right="0.75" top="1" bottom="1" header="0.5" footer="0.5"/>
  <pageSetup scale="92" fitToHeight="2" orientation="landscape" r:id="rId1"/>
  <headerFooter alignWithMargins="0">
    <oddFooter>&amp;L&amp;D     &amp;T&amp;C&amp;F&amp;R&amp;A</oddFooter>
  </headerFooter>
  <rowBreaks count="1" manualBreakCount="1">
    <brk id="33"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92D050"/>
    <pageSetUpPr fitToPage="1"/>
  </sheetPr>
  <dimension ref="A1:O225"/>
  <sheetViews>
    <sheetView workbookViewId="0">
      <selection activeCell="J10" sqref="J10"/>
    </sheetView>
  </sheetViews>
  <sheetFormatPr defaultRowHeight="13.2" x14ac:dyDescent="0.25"/>
  <cols>
    <col min="1" max="1" width="10.109375" style="77" customWidth="1"/>
    <col min="2" max="2" width="9.44140625" customWidth="1"/>
    <col min="3" max="3" width="9.6640625" customWidth="1"/>
    <col min="4" max="11" width="9.44140625" bestFit="1" customWidth="1"/>
    <col min="12" max="12" width="8.6640625" customWidth="1"/>
    <col min="13" max="13" width="12.77734375" customWidth="1"/>
  </cols>
  <sheetData>
    <row r="1" spans="1:12" x14ac:dyDescent="0.25">
      <c r="A1" s="250" t="s">
        <v>257</v>
      </c>
      <c r="B1" s="141"/>
      <c r="C1" s="141"/>
      <c r="D1" s="141"/>
      <c r="E1" s="257">
        <v>2.5000000000000001E-2</v>
      </c>
      <c r="G1" s="132" t="s">
        <v>2</v>
      </c>
    </row>
    <row r="2" spans="1:12" x14ac:dyDescent="0.25">
      <c r="B2" s="101" t="s">
        <v>256</v>
      </c>
    </row>
    <row r="3" spans="1:12" x14ac:dyDescent="0.25">
      <c r="A3" s="127" t="s">
        <v>258</v>
      </c>
      <c r="B3" s="245">
        <v>1</v>
      </c>
      <c r="C3" s="245">
        <v>1</v>
      </c>
      <c r="D3" s="245">
        <v>2</v>
      </c>
      <c r="E3" s="245">
        <v>3</v>
      </c>
      <c r="F3" s="245">
        <v>4</v>
      </c>
      <c r="G3" s="245">
        <v>5</v>
      </c>
      <c r="H3" s="245">
        <v>6</v>
      </c>
      <c r="I3" s="245">
        <v>7</v>
      </c>
      <c r="J3" s="245">
        <v>8</v>
      </c>
      <c r="K3" s="245">
        <v>9</v>
      </c>
      <c r="L3" s="245">
        <v>10</v>
      </c>
    </row>
    <row r="4" spans="1:12" x14ac:dyDescent="0.25">
      <c r="A4" s="127" t="s">
        <v>252</v>
      </c>
      <c r="B4" s="107"/>
      <c r="C4" s="107">
        <f>ROUND((+C26*(1+$E$1)),2)</f>
        <v>16.350000000000001</v>
      </c>
      <c r="D4" s="107">
        <f t="shared" ref="D4:L4" si="0">ROUND((+D26*(1+$E$1)),2)</f>
        <v>16.75</v>
      </c>
      <c r="E4" s="107">
        <f t="shared" si="0"/>
        <v>17.2</v>
      </c>
      <c r="F4" s="107">
        <f t="shared" si="0"/>
        <v>17.59</v>
      </c>
      <c r="G4" s="107">
        <f t="shared" si="0"/>
        <v>18.04</v>
      </c>
      <c r="H4" s="107">
        <f t="shared" si="0"/>
        <v>18.45</v>
      </c>
      <c r="I4" s="107">
        <f t="shared" si="0"/>
        <v>18.86</v>
      </c>
      <c r="J4" s="107">
        <f t="shared" si="0"/>
        <v>19.25</v>
      </c>
      <c r="K4" s="107">
        <f t="shared" si="0"/>
        <v>19.63</v>
      </c>
      <c r="L4" s="107">
        <f t="shared" si="0"/>
        <v>20.12</v>
      </c>
    </row>
    <row r="5" spans="1:12" x14ac:dyDescent="0.25">
      <c r="A5" s="127" t="s">
        <v>253</v>
      </c>
      <c r="B5" s="107"/>
      <c r="C5" s="107">
        <f t="shared" ref="C5:L8" si="1">ROUND((+C27*(1+$E$1)),2)</f>
        <v>19.28</v>
      </c>
      <c r="D5" s="107">
        <f t="shared" si="1"/>
        <v>19.75</v>
      </c>
      <c r="E5" s="107">
        <f t="shared" si="1"/>
        <v>20.239999999999998</v>
      </c>
      <c r="F5" s="107">
        <f t="shared" si="1"/>
        <v>20.76</v>
      </c>
      <c r="G5" s="107">
        <f t="shared" si="1"/>
        <v>21.27</v>
      </c>
      <c r="H5" s="107">
        <f t="shared" si="1"/>
        <v>21.82</v>
      </c>
      <c r="I5" s="107">
        <f t="shared" si="1"/>
        <v>22.23</v>
      </c>
      <c r="J5" s="107">
        <f t="shared" si="1"/>
        <v>22.7</v>
      </c>
      <c r="K5" s="107">
        <f t="shared" si="1"/>
        <v>23.14</v>
      </c>
      <c r="L5" s="107">
        <f t="shared" si="1"/>
        <v>23.72</v>
      </c>
    </row>
    <row r="6" spans="1:12" x14ac:dyDescent="0.25">
      <c r="A6" s="127" t="s">
        <v>254</v>
      </c>
      <c r="B6" s="107"/>
      <c r="C6" s="107">
        <f t="shared" si="1"/>
        <v>20.75</v>
      </c>
      <c r="D6" s="107">
        <f t="shared" si="1"/>
        <v>21.25</v>
      </c>
      <c r="E6" s="107">
        <f t="shared" si="1"/>
        <v>21.8</v>
      </c>
      <c r="F6" s="107">
        <f t="shared" si="1"/>
        <v>22.31</v>
      </c>
      <c r="G6" s="107">
        <f t="shared" si="1"/>
        <v>22.91</v>
      </c>
      <c r="H6" s="107">
        <f t="shared" si="1"/>
        <v>23.45</v>
      </c>
      <c r="I6" s="107">
        <f t="shared" si="1"/>
        <v>23.94</v>
      </c>
      <c r="J6" s="107">
        <f t="shared" si="1"/>
        <v>24.41</v>
      </c>
      <c r="K6" s="107">
        <f t="shared" si="1"/>
        <v>24.9</v>
      </c>
      <c r="L6" s="107">
        <f t="shared" si="1"/>
        <v>25.52</v>
      </c>
    </row>
    <row r="7" spans="1:12" x14ac:dyDescent="0.25">
      <c r="A7" s="127" t="s">
        <v>255</v>
      </c>
      <c r="B7" s="107"/>
      <c r="C7" s="107">
        <f t="shared" si="1"/>
        <v>22.6</v>
      </c>
      <c r="D7" s="107">
        <f t="shared" si="1"/>
        <v>23.17</v>
      </c>
      <c r="E7" s="107">
        <f t="shared" si="1"/>
        <v>23.74</v>
      </c>
      <c r="F7" s="107">
        <f t="shared" si="1"/>
        <v>24.33</v>
      </c>
      <c r="G7" s="107">
        <f t="shared" si="1"/>
        <v>24.96</v>
      </c>
      <c r="H7" s="107">
        <f t="shared" si="1"/>
        <v>25.58</v>
      </c>
      <c r="I7" s="107">
        <f t="shared" si="1"/>
        <v>26.09</v>
      </c>
      <c r="J7" s="107">
        <f t="shared" si="1"/>
        <v>26.62</v>
      </c>
      <c r="K7" s="107">
        <f t="shared" si="1"/>
        <v>27.13</v>
      </c>
      <c r="L7" s="107">
        <f t="shared" si="1"/>
        <v>27.81</v>
      </c>
    </row>
    <row r="8" spans="1:12" x14ac:dyDescent="0.25">
      <c r="A8" s="127" t="s">
        <v>259</v>
      </c>
      <c r="B8" s="107"/>
      <c r="C8" s="107">
        <f t="shared" si="1"/>
        <v>24.4</v>
      </c>
      <c r="D8" s="107">
        <f t="shared" si="1"/>
        <v>25.02</v>
      </c>
      <c r="E8" s="107">
        <f t="shared" si="1"/>
        <v>25.64</v>
      </c>
      <c r="F8" s="107">
        <f t="shared" si="1"/>
        <v>26.28</v>
      </c>
      <c r="G8" s="107">
        <f t="shared" si="1"/>
        <v>26.94</v>
      </c>
      <c r="H8" s="107">
        <f t="shared" si="1"/>
        <v>27.6</v>
      </c>
      <c r="I8" s="107">
        <f t="shared" si="1"/>
        <v>28.16</v>
      </c>
      <c r="J8" s="107">
        <f t="shared" si="1"/>
        <v>28.73</v>
      </c>
      <c r="K8" s="107">
        <f t="shared" si="1"/>
        <v>29.29</v>
      </c>
      <c r="L8" s="107">
        <f t="shared" si="1"/>
        <v>30.02</v>
      </c>
    </row>
    <row r="9" spans="1:12" x14ac:dyDescent="0.25">
      <c r="A9" s="127" t="s">
        <v>260</v>
      </c>
      <c r="B9" s="130"/>
      <c r="C9" s="196">
        <f>ROUND((+C31*(1+$E$1)),0)</f>
        <v>61770</v>
      </c>
      <c r="D9" s="196">
        <f t="shared" ref="D9:L10" si="2">ROUND((+D31*(1+$E$1)),0)</f>
        <v>63311</v>
      </c>
      <c r="E9" s="196">
        <f t="shared" si="2"/>
        <v>64895</v>
      </c>
      <c r="F9" s="196">
        <f t="shared" si="2"/>
        <v>66517</v>
      </c>
      <c r="G9" s="196">
        <f t="shared" si="2"/>
        <v>68181</v>
      </c>
      <c r="H9" s="196">
        <f t="shared" si="2"/>
        <v>69543</v>
      </c>
      <c r="I9" s="196">
        <f t="shared" si="2"/>
        <v>70936</v>
      </c>
      <c r="J9" s="196">
        <f t="shared" si="2"/>
        <v>72354</v>
      </c>
      <c r="K9" s="196">
        <f t="shared" si="2"/>
        <v>73800</v>
      </c>
      <c r="L9" s="196">
        <f t="shared" si="2"/>
        <v>75645</v>
      </c>
    </row>
    <row r="10" spans="1:12" x14ac:dyDescent="0.25">
      <c r="A10" s="127" t="s">
        <v>261</v>
      </c>
      <c r="B10" s="130"/>
      <c r="C10" s="196">
        <f>ROUND((+C32*(1+$E$1)),0)</f>
        <v>65636</v>
      </c>
      <c r="D10" s="196">
        <f t="shared" si="2"/>
        <v>67278</v>
      </c>
      <c r="E10" s="196">
        <f t="shared" si="2"/>
        <v>68959</v>
      </c>
      <c r="F10" s="196">
        <f t="shared" si="2"/>
        <v>70681</v>
      </c>
      <c r="G10" s="196">
        <f t="shared" si="2"/>
        <v>72450</v>
      </c>
      <c r="H10" s="196">
        <f t="shared" si="2"/>
        <v>73899</v>
      </c>
      <c r="I10" s="196">
        <f t="shared" si="2"/>
        <v>75376</v>
      </c>
      <c r="J10" s="196">
        <f t="shared" si="2"/>
        <v>76884</v>
      </c>
      <c r="K10" s="196">
        <f t="shared" si="2"/>
        <v>78423</v>
      </c>
      <c r="L10" s="196">
        <f t="shared" si="2"/>
        <v>80384</v>
      </c>
    </row>
    <row r="11" spans="1:12" x14ac:dyDescent="0.25">
      <c r="A11" s="127" t="s">
        <v>262</v>
      </c>
      <c r="B11" s="189"/>
      <c r="C11" s="189"/>
      <c r="D11" s="189"/>
      <c r="E11" s="189"/>
      <c r="F11" s="189"/>
      <c r="G11" s="190">
        <f>+ROUND((((+G10*1.085)/52)/37.69),0)</f>
        <v>40</v>
      </c>
      <c r="H11" s="190">
        <f t="shared" ref="H11:L11" si="3">+ROUND((((+H10*1.085)/52)/37.69),2)</f>
        <v>40.909999999999997</v>
      </c>
      <c r="I11" s="190">
        <f t="shared" si="3"/>
        <v>41.73</v>
      </c>
      <c r="J11" s="190">
        <f t="shared" si="3"/>
        <v>42.56</v>
      </c>
      <c r="K11" s="190">
        <f t="shared" si="3"/>
        <v>43.42</v>
      </c>
      <c r="L11" s="190">
        <f t="shared" si="3"/>
        <v>44.5</v>
      </c>
    </row>
    <row r="12" spans="1:12" x14ac:dyDescent="0.25">
      <c r="A12" s="127" t="s">
        <v>263</v>
      </c>
      <c r="B12" s="130"/>
      <c r="C12" s="196">
        <f t="shared" ref="C12:L12" si="4">ROUND((+C34*(1+$E$1)),0)</f>
        <v>83428</v>
      </c>
      <c r="D12" s="196">
        <f t="shared" si="4"/>
        <v>85512</v>
      </c>
      <c r="E12" s="196">
        <f t="shared" si="4"/>
        <v>87653</v>
      </c>
      <c r="F12" s="196">
        <f t="shared" si="4"/>
        <v>89843</v>
      </c>
      <c r="G12" s="196">
        <f t="shared" si="4"/>
        <v>92090</v>
      </c>
      <c r="H12" s="196">
        <f t="shared" si="4"/>
        <v>94391</v>
      </c>
      <c r="I12" s="196">
        <f t="shared" si="4"/>
        <v>96280</v>
      </c>
      <c r="J12" s="196">
        <f t="shared" si="4"/>
        <v>98204</v>
      </c>
      <c r="K12" s="196">
        <f t="shared" si="4"/>
        <v>100167</v>
      </c>
      <c r="L12" s="196">
        <f t="shared" si="4"/>
        <v>102672</v>
      </c>
    </row>
    <row r="13" spans="1:12" x14ac:dyDescent="0.25">
      <c r="A13" s="127" t="s">
        <v>264</v>
      </c>
      <c r="B13" s="130"/>
      <c r="C13" s="196">
        <f t="shared" ref="C13:L13" si="5">ROUND((+C35*(1+$E$1)),0)</f>
        <v>91770</v>
      </c>
      <c r="D13" s="196">
        <f t="shared" si="5"/>
        <v>94065</v>
      </c>
      <c r="E13" s="196">
        <f t="shared" si="5"/>
        <v>96418</v>
      </c>
      <c r="F13" s="196">
        <f t="shared" si="5"/>
        <v>98825</v>
      </c>
      <c r="G13" s="196">
        <f t="shared" si="5"/>
        <v>101296</v>
      </c>
      <c r="H13" s="196">
        <f t="shared" si="5"/>
        <v>103827</v>
      </c>
      <c r="I13" s="196">
        <f t="shared" si="5"/>
        <v>105906</v>
      </c>
      <c r="J13" s="196">
        <f t="shared" si="5"/>
        <v>108024</v>
      </c>
      <c r="K13" s="196">
        <f t="shared" si="5"/>
        <v>110184</v>
      </c>
      <c r="L13" s="196">
        <f t="shared" si="5"/>
        <v>112940</v>
      </c>
    </row>
    <row r="14" spans="1:12" x14ac:dyDescent="0.25">
      <c r="A14" s="127" t="s">
        <v>265</v>
      </c>
      <c r="B14" s="130"/>
      <c r="C14" s="196">
        <f t="shared" ref="C14:L14" si="6">ROUND((+C36*(1+$E$1)),0)</f>
        <v>100946</v>
      </c>
      <c r="D14" s="196">
        <f t="shared" si="6"/>
        <v>103472</v>
      </c>
      <c r="E14" s="196">
        <f t="shared" si="6"/>
        <v>106059</v>
      </c>
      <c r="F14" s="196">
        <f t="shared" si="6"/>
        <v>108709</v>
      </c>
      <c r="G14" s="196">
        <f t="shared" si="6"/>
        <v>111428</v>
      </c>
      <c r="H14" s="196">
        <f t="shared" si="6"/>
        <v>114213</v>
      </c>
      <c r="I14" s="196">
        <f t="shared" si="6"/>
        <v>116495</v>
      </c>
      <c r="J14" s="196">
        <f t="shared" si="6"/>
        <v>118827</v>
      </c>
      <c r="K14" s="196">
        <f t="shared" si="6"/>
        <v>121204</v>
      </c>
      <c r="L14" s="196">
        <f t="shared" si="6"/>
        <v>124233</v>
      </c>
    </row>
    <row r="16" spans="1:12" x14ac:dyDescent="0.25">
      <c r="A16" s="127" t="s">
        <v>49</v>
      </c>
      <c r="B16" s="101" t="s">
        <v>266</v>
      </c>
    </row>
    <row r="17" spans="1:13" x14ac:dyDescent="0.25">
      <c r="A17" s="127" t="s">
        <v>258</v>
      </c>
      <c r="B17" s="245">
        <v>1</v>
      </c>
      <c r="C17" s="245">
        <v>2</v>
      </c>
      <c r="D17" s="245">
        <v>3</v>
      </c>
      <c r="E17" s="245">
        <v>4</v>
      </c>
      <c r="F17" s="245">
        <v>5</v>
      </c>
      <c r="G17" s="245">
        <v>6</v>
      </c>
      <c r="H17" s="245">
        <v>7</v>
      </c>
      <c r="I17" s="245">
        <v>8</v>
      </c>
      <c r="J17" s="245">
        <v>9</v>
      </c>
      <c r="K17" s="245">
        <v>10</v>
      </c>
      <c r="L17" s="245">
        <v>11</v>
      </c>
      <c r="M17" t="s">
        <v>267</v>
      </c>
    </row>
    <row r="18" spans="1:13" x14ac:dyDescent="0.25">
      <c r="A18" s="127" t="s">
        <v>268</v>
      </c>
      <c r="B18" s="1"/>
      <c r="C18" s="1">
        <f>ROUND((+C9/$M$18),2)</f>
        <v>33.94</v>
      </c>
      <c r="D18" s="1">
        <f t="shared" ref="D18:L18" si="7">ROUND((+D9/$M$18),2)</f>
        <v>34.79</v>
      </c>
      <c r="E18" s="1">
        <f t="shared" si="7"/>
        <v>35.659999999999997</v>
      </c>
      <c r="F18" s="1">
        <f t="shared" si="7"/>
        <v>36.549999999999997</v>
      </c>
      <c r="G18" s="1">
        <f t="shared" si="7"/>
        <v>37.46</v>
      </c>
      <c r="H18" s="1">
        <f t="shared" si="7"/>
        <v>38.21</v>
      </c>
      <c r="I18" s="1">
        <f t="shared" si="7"/>
        <v>38.979999999999997</v>
      </c>
      <c r="J18" s="1">
        <f t="shared" si="7"/>
        <v>39.75</v>
      </c>
      <c r="K18" s="1">
        <f t="shared" si="7"/>
        <v>40.549999999999997</v>
      </c>
      <c r="L18" s="1">
        <f t="shared" si="7"/>
        <v>41.56</v>
      </c>
      <c r="M18" s="228">
        <v>1820</v>
      </c>
    </row>
    <row r="19" spans="1:13" x14ac:dyDescent="0.25">
      <c r="A19" s="127" t="s">
        <v>269</v>
      </c>
      <c r="B19" s="1"/>
      <c r="C19" s="1">
        <f>ROUND((+C9/$M$19),2)</f>
        <v>29.7</v>
      </c>
      <c r="D19" s="1">
        <f t="shared" ref="D19:L19" si="8">ROUND((+D9/$M$19),2)</f>
        <v>30.44</v>
      </c>
      <c r="E19" s="1">
        <f t="shared" si="8"/>
        <v>31.2</v>
      </c>
      <c r="F19" s="1">
        <f t="shared" si="8"/>
        <v>31.98</v>
      </c>
      <c r="G19" s="1">
        <f t="shared" si="8"/>
        <v>32.78</v>
      </c>
      <c r="H19" s="1">
        <f t="shared" si="8"/>
        <v>33.43</v>
      </c>
      <c r="I19" s="1">
        <f t="shared" si="8"/>
        <v>34.1</v>
      </c>
      <c r="J19" s="1">
        <f t="shared" si="8"/>
        <v>34.79</v>
      </c>
      <c r="K19" s="1">
        <f t="shared" si="8"/>
        <v>35.479999999999997</v>
      </c>
      <c r="L19" s="1">
        <f t="shared" si="8"/>
        <v>36.369999999999997</v>
      </c>
      <c r="M19" s="228">
        <v>2080</v>
      </c>
    </row>
    <row r="20" spans="1:13" x14ac:dyDescent="0.25">
      <c r="A20" s="127" t="s">
        <v>270</v>
      </c>
      <c r="B20" s="1"/>
      <c r="C20" s="1">
        <f>ROUND((+C9/$M$20),2)</f>
        <v>29.7</v>
      </c>
      <c r="D20" s="1">
        <f t="shared" ref="D20:L20" si="9">ROUND((+D9/$M$20),2)</f>
        <v>30.44</v>
      </c>
      <c r="E20" s="1">
        <f t="shared" si="9"/>
        <v>31.2</v>
      </c>
      <c r="F20" s="1">
        <f t="shared" si="9"/>
        <v>31.98</v>
      </c>
      <c r="G20" s="1">
        <f t="shared" si="9"/>
        <v>32.78</v>
      </c>
      <c r="H20" s="1">
        <f t="shared" si="9"/>
        <v>33.43</v>
      </c>
      <c r="I20" s="1">
        <f t="shared" si="9"/>
        <v>34.1</v>
      </c>
      <c r="J20" s="1">
        <f t="shared" si="9"/>
        <v>34.79</v>
      </c>
      <c r="K20" s="1">
        <f t="shared" si="9"/>
        <v>35.479999999999997</v>
      </c>
      <c r="L20" s="1">
        <f t="shared" si="9"/>
        <v>36.369999999999997</v>
      </c>
      <c r="M20" s="228">
        <v>2080</v>
      </c>
    </row>
    <row r="21" spans="1:13" x14ac:dyDescent="0.25">
      <c r="A21" s="77" t="s">
        <v>271</v>
      </c>
      <c r="B21" s="228">
        <v>52.2</v>
      </c>
      <c r="C21" s="101" t="s">
        <v>272</v>
      </c>
      <c r="G21" s="46"/>
      <c r="H21" s="46"/>
      <c r="I21" s="46"/>
      <c r="J21" s="46"/>
      <c r="K21" s="46"/>
    </row>
    <row r="23" spans="1:13" x14ac:dyDescent="0.25">
      <c r="A23" s="250" t="s">
        <v>273</v>
      </c>
      <c r="B23" s="141"/>
      <c r="C23" s="141"/>
      <c r="D23" s="141"/>
      <c r="E23" s="257">
        <v>0.03</v>
      </c>
      <c r="G23" s="132" t="s">
        <v>2</v>
      </c>
    </row>
    <row r="24" spans="1:13" x14ac:dyDescent="0.25">
      <c r="B24" s="101" t="s">
        <v>256</v>
      </c>
    </row>
    <row r="25" spans="1:13" x14ac:dyDescent="0.25">
      <c r="A25" s="127" t="s">
        <v>258</v>
      </c>
      <c r="B25" s="245">
        <v>1</v>
      </c>
      <c r="C25" s="245">
        <v>1</v>
      </c>
      <c r="D25" s="245">
        <v>2</v>
      </c>
      <c r="E25" s="245">
        <v>3</v>
      </c>
      <c r="F25" s="245">
        <v>4</v>
      </c>
      <c r="G25" s="245">
        <v>5</v>
      </c>
      <c r="H25" s="245">
        <v>6</v>
      </c>
      <c r="I25" s="245">
        <v>7</v>
      </c>
      <c r="J25" s="245">
        <v>8</v>
      </c>
      <c r="K25" s="245">
        <v>9</v>
      </c>
      <c r="L25" s="245">
        <v>10</v>
      </c>
    </row>
    <row r="26" spans="1:13" x14ac:dyDescent="0.25">
      <c r="A26" s="127" t="s">
        <v>252</v>
      </c>
      <c r="B26" s="107"/>
      <c r="C26" s="107">
        <f>ROUND((+C48*(1+$E$23)),2)</f>
        <v>15.95</v>
      </c>
      <c r="D26" s="107">
        <f t="shared" ref="D26:L26" si="10">ROUND((+D48*(1+$E$23)),2)</f>
        <v>16.34</v>
      </c>
      <c r="E26" s="107">
        <f t="shared" si="10"/>
        <v>16.78</v>
      </c>
      <c r="F26" s="107">
        <f t="shared" si="10"/>
        <v>17.16</v>
      </c>
      <c r="G26" s="107">
        <f t="shared" si="10"/>
        <v>17.600000000000001</v>
      </c>
      <c r="H26" s="107">
        <f t="shared" si="10"/>
        <v>18</v>
      </c>
      <c r="I26" s="107">
        <f t="shared" si="10"/>
        <v>18.399999999999999</v>
      </c>
      <c r="J26" s="107">
        <f t="shared" si="10"/>
        <v>18.78</v>
      </c>
      <c r="K26" s="107">
        <f t="shared" si="10"/>
        <v>19.149999999999999</v>
      </c>
      <c r="L26" s="107">
        <f t="shared" si="10"/>
        <v>19.63</v>
      </c>
    </row>
    <row r="27" spans="1:13" x14ac:dyDescent="0.25">
      <c r="A27" s="127" t="s">
        <v>253</v>
      </c>
      <c r="B27" s="107"/>
      <c r="C27" s="107">
        <f t="shared" ref="C27:L27" si="11">ROUND((+C49*(1+$E$23)),2)</f>
        <v>18.809999999999999</v>
      </c>
      <c r="D27" s="107">
        <f t="shared" si="11"/>
        <v>19.27</v>
      </c>
      <c r="E27" s="107">
        <f t="shared" si="11"/>
        <v>19.75</v>
      </c>
      <c r="F27" s="107">
        <f t="shared" si="11"/>
        <v>20.25</v>
      </c>
      <c r="G27" s="107">
        <f t="shared" si="11"/>
        <v>20.75</v>
      </c>
      <c r="H27" s="107">
        <f t="shared" si="11"/>
        <v>21.29</v>
      </c>
      <c r="I27" s="107">
        <f t="shared" si="11"/>
        <v>21.69</v>
      </c>
      <c r="J27" s="107">
        <f t="shared" si="11"/>
        <v>22.15</v>
      </c>
      <c r="K27" s="107">
        <f t="shared" si="11"/>
        <v>22.58</v>
      </c>
      <c r="L27" s="107">
        <f t="shared" si="11"/>
        <v>23.14</v>
      </c>
    </row>
    <row r="28" spans="1:13" x14ac:dyDescent="0.25">
      <c r="A28" s="127" t="s">
        <v>254</v>
      </c>
      <c r="B28" s="107"/>
      <c r="C28" s="107">
        <f t="shared" ref="C28:L28" si="12">ROUND((+C50*(1+$E$23)),2)</f>
        <v>20.239999999999998</v>
      </c>
      <c r="D28" s="107">
        <f t="shared" si="12"/>
        <v>20.73</v>
      </c>
      <c r="E28" s="107">
        <f t="shared" si="12"/>
        <v>21.27</v>
      </c>
      <c r="F28" s="107">
        <f t="shared" si="12"/>
        <v>21.77</v>
      </c>
      <c r="G28" s="107">
        <f t="shared" si="12"/>
        <v>22.35</v>
      </c>
      <c r="H28" s="107">
        <f t="shared" si="12"/>
        <v>22.88</v>
      </c>
      <c r="I28" s="107">
        <f t="shared" si="12"/>
        <v>23.36</v>
      </c>
      <c r="J28" s="107">
        <f t="shared" si="12"/>
        <v>23.81</v>
      </c>
      <c r="K28" s="107">
        <f t="shared" si="12"/>
        <v>24.29</v>
      </c>
      <c r="L28" s="107">
        <f t="shared" si="12"/>
        <v>24.9</v>
      </c>
    </row>
    <row r="29" spans="1:13" x14ac:dyDescent="0.25">
      <c r="A29" s="127" t="s">
        <v>255</v>
      </c>
      <c r="B29" s="107"/>
      <c r="C29" s="107">
        <f t="shared" ref="C29:L29" si="13">ROUND((+C51*(1+$E$23)),2)</f>
        <v>22.05</v>
      </c>
      <c r="D29" s="107">
        <f t="shared" si="13"/>
        <v>22.6</v>
      </c>
      <c r="E29" s="107">
        <f t="shared" si="13"/>
        <v>23.16</v>
      </c>
      <c r="F29" s="107">
        <f t="shared" si="13"/>
        <v>23.74</v>
      </c>
      <c r="G29" s="107">
        <f t="shared" si="13"/>
        <v>24.35</v>
      </c>
      <c r="H29" s="107">
        <f t="shared" si="13"/>
        <v>24.96</v>
      </c>
      <c r="I29" s="107">
        <f t="shared" si="13"/>
        <v>25.45</v>
      </c>
      <c r="J29" s="107">
        <f t="shared" si="13"/>
        <v>25.97</v>
      </c>
      <c r="K29" s="107">
        <f t="shared" si="13"/>
        <v>26.47</v>
      </c>
      <c r="L29" s="107">
        <f t="shared" si="13"/>
        <v>27.13</v>
      </c>
    </row>
    <row r="30" spans="1:13" x14ac:dyDescent="0.25">
      <c r="A30" s="127" t="s">
        <v>259</v>
      </c>
      <c r="B30" s="107"/>
      <c r="C30" s="107">
        <f t="shared" ref="C30:L30" si="14">ROUND((+C52*(1+$E$23)),2)</f>
        <v>23.8</v>
      </c>
      <c r="D30" s="107">
        <f t="shared" si="14"/>
        <v>24.41</v>
      </c>
      <c r="E30" s="107">
        <f t="shared" si="14"/>
        <v>25.01</v>
      </c>
      <c r="F30" s="107">
        <f t="shared" si="14"/>
        <v>25.64</v>
      </c>
      <c r="G30" s="107">
        <f t="shared" si="14"/>
        <v>26.28</v>
      </c>
      <c r="H30" s="107">
        <f t="shared" si="14"/>
        <v>26.93</v>
      </c>
      <c r="I30" s="107">
        <f t="shared" si="14"/>
        <v>27.47</v>
      </c>
      <c r="J30" s="107">
        <f t="shared" si="14"/>
        <v>28.03</v>
      </c>
      <c r="K30" s="107">
        <f t="shared" si="14"/>
        <v>28.58</v>
      </c>
      <c r="L30" s="107">
        <f t="shared" si="14"/>
        <v>29.29</v>
      </c>
    </row>
    <row r="31" spans="1:13" x14ac:dyDescent="0.25">
      <c r="A31" s="127" t="s">
        <v>260</v>
      </c>
      <c r="B31" s="130"/>
      <c r="C31" s="196">
        <f>ROUND((+C53*(1+$E$23)),0)</f>
        <v>60263</v>
      </c>
      <c r="D31" s="196">
        <f t="shared" ref="D31:L32" si="15">ROUND((+D53*(1+$E$23)),0)</f>
        <v>61767</v>
      </c>
      <c r="E31" s="196">
        <f t="shared" si="15"/>
        <v>63312</v>
      </c>
      <c r="F31" s="196">
        <f t="shared" si="15"/>
        <v>64895</v>
      </c>
      <c r="G31" s="196">
        <f t="shared" si="15"/>
        <v>66518</v>
      </c>
      <c r="H31" s="196">
        <f t="shared" si="15"/>
        <v>67847</v>
      </c>
      <c r="I31" s="196">
        <f t="shared" si="15"/>
        <v>69206</v>
      </c>
      <c r="J31" s="196">
        <f t="shared" si="15"/>
        <v>70589</v>
      </c>
      <c r="K31" s="196">
        <f t="shared" si="15"/>
        <v>72000</v>
      </c>
      <c r="L31" s="196">
        <f t="shared" si="15"/>
        <v>73800</v>
      </c>
    </row>
    <row r="32" spans="1:13" x14ac:dyDescent="0.25">
      <c r="A32" s="127" t="s">
        <v>261</v>
      </c>
      <c r="B32" s="130"/>
      <c r="C32" s="196">
        <f>ROUND((+C54*(1+$E$23)),0)</f>
        <v>64035</v>
      </c>
      <c r="D32" s="196">
        <f t="shared" si="15"/>
        <v>65637</v>
      </c>
      <c r="E32" s="196">
        <f t="shared" si="15"/>
        <v>67277</v>
      </c>
      <c r="F32" s="196">
        <f t="shared" si="15"/>
        <v>68957</v>
      </c>
      <c r="G32" s="196">
        <f t="shared" si="15"/>
        <v>70683</v>
      </c>
      <c r="H32" s="196">
        <f t="shared" si="15"/>
        <v>72097</v>
      </c>
      <c r="I32" s="196">
        <f t="shared" si="15"/>
        <v>73538</v>
      </c>
      <c r="J32" s="196">
        <f t="shared" si="15"/>
        <v>75009</v>
      </c>
      <c r="K32" s="196">
        <f t="shared" si="15"/>
        <v>76510</v>
      </c>
      <c r="L32" s="196">
        <f t="shared" si="15"/>
        <v>78423</v>
      </c>
    </row>
    <row r="33" spans="1:13" x14ac:dyDescent="0.25">
      <c r="A33" s="127" t="s">
        <v>262</v>
      </c>
      <c r="B33" s="189"/>
      <c r="C33" s="189"/>
      <c r="D33" s="189"/>
      <c r="E33" s="189"/>
      <c r="F33" s="189"/>
      <c r="G33" s="190">
        <f>+ROUND((((+G32*1.085)/$B$43)/37.69),2)</f>
        <v>38.979999999999997</v>
      </c>
      <c r="H33" s="190">
        <f t="shared" ref="H33:L33" si="16">+ROUND((((+H32*1.085)/$B$43)/37.69),2)</f>
        <v>39.76</v>
      </c>
      <c r="I33" s="190">
        <f t="shared" si="16"/>
        <v>40.56</v>
      </c>
      <c r="J33" s="190">
        <f t="shared" si="16"/>
        <v>41.37</v>
      </c>
      <c r="K33" s="190">
        <f t="shared" si="16"/>
        <v>42.19</v>
      </c>
      <c r="L33" s="190">
        <f t="shared" si="16"/>
        <v>43.25</v>
      </c>
    </row>
    <row r="34" spans="1:13" x14ac:dyDescent="0.25">
      <c r="A34" s="127" t="s">
        <v>263</v>
      </c>
      <c r="B34" s="130"/>
      <c r="C34" s="196">
        <f t="shared" ref="C34:L34" si="17">ROUND((+C56*(1+$E$23)),0)</f>
        <v>81393</v>
      </c>
      <c r="D34" s="196">
        <f t="shared" si="17"/>
        <v>83426</v>
      </c>
      <c r="E34" s="196">
        <f t="shared" si="17"/>
        <v>85515</v>
      </c>
      <c r="F34" s="196">
        <f t="shared" si="17"/>
        <v>87652</v>
      </c>
      <c r="G34" s="196">
        <f t="shared" si="17"/>
        <v>89844</v>
      </c>
      <c r="H34" s="196">
        <f t="shared" si="17"/>
        <v>92089</v>
      </c>
      <c r="I34" s="196">
        <f t="shared" si="17"/>
        <v>93932</v>
      </c>
      <c r="J34" s="196">
        <f t="shared" si="17"/>
        <v>95809</v>
      </c>
      <c r="K34" s="196">
        <f t="shared" si="17"/>
        <v>97724</v>
      </c>
      <c r="L34" s="196">
        <f t="shared" si="17"/>
        <v>100168</v>
      </c>
    </row>
    <row r="35" spans="1:13" x14ac:dyDescent="0.25">
      <c r="A35" s="127" t="s">
        <v>264</v>
      </c>
      <c r="B35" s="130"/>
      <c r="C35" s="196">
        <f t="shared" ref="C35:L35" si="18">ROUND((+C57*(1+$E$23)),0)</f>
        <v>89532</v>
      </c>
      <c r="D35" s="196">
        <f t="shared" si="18"/>
        <v>91771</v>
      </c>
      <c r="E35" s="196">
        <f t="shared" si="18"/>
        <v>94066</v>
      </c>
      <c r="F35" s="196">
        <f t="shared" si="18"/>
        <v>96415</v>
      </c>
      <c r="G35" s="196">
        <f t="shared" si="18"/>
        <v>98825</v>
      </c>
      <c r="H35" s="196">
        <f t="shared" si="18"/>
        <v>101295</v>
      </c>
      <c r="I35" s="196">
        <f t="shared" si="18"/>
        <v>103323</v>
      </c>
      <c r="J35" s="196">
        <f t="shared" si="18"/>
        <v>105389</v>
      </c>
      <c r="K35" s="196">
        <f t="shared" si="18"/>
        <v>107497</v>
      </c>
      <c r="L35" s="196">
        <f t="shared" si="18"/>
        <v>110185</v>
      </c>
    </row>
    <row r="36" spans="1:13" x14ac:dyDescent="0.25">
      <c r="A36" s="127" t="s">
        <v>265</v>
      </c>
      <c r="B36" s="130"/>
      <c r="C36" s="196">
        <f t="shared" ref="C36:L36" si="19">ROUND((+C58*(1+$E$23)),0)</f>
        <v>98484</v>
      </c>
      <c r="D36" s="196">
        <f t="shared" si="19"/>
        <v>100948</v>
      </c>
      <c r="E36" s="196">
        <f t="shared" si="19"/>
        <v>103472</v>
      </c>
      <c r="F36" s="196">
        <f t="shared" si="19"/>
        <v>106058</v>
      </c>
      <c r="G36" s="196">
        <f t="shared" si="19"/>
        <v>108710</v>
      </c>
      <c r="H36" s="196">
        <f t="shared" si="19"/>
        <v>111427</v>
      </c>
      <c r="I36" s="196">
        <f t="shared" si="19"/>
        <v>113654</v>
      </c>
      <c r="J36" s="196">
        <f t="shared" si="19"/>
        <v>115929</v>
      </c>
      <c r="K36" s="196">
        <f t="shared" si="19"/>
        <v>118248</v>
      </c>
      <c r="L36" s="196">
        <f t="shared" si="19"/>
        <v>121203</v>
      </c>
    </row>
    <row r="38" spans="1:13" x14ac:dyDescent="0.25">
      <c r="A38" s="127" t="s">
        <v>49</v>
      </c>
      <c r="B38" s="101" t="s">
        <v>266</v>
      </c>
    </row>
    <row r="39" spans="1:13" x14ac:dyDescent="0.25">
      <c r="A39" s="127" t="s">
        <v>258</v>
      </c>
      <c r="B39" s="245">
        <v>1</v>
      </c>
      <c r="C39" s="245">
        <v>2</v>
      </c>
      <c r="D39" s="245">
        <v>3</v>
      </c>
      <c r="E39" s="245">
        <v>4</v>
      </c>
      <c r="F39" s="245">
        <v>5</v>
      </c>
      <c r="G39" s="245">
        <v>6</v>
      </c>
      <c r="H39" s="245">
        <v>7</v>
      </c>
      <c r="I39" s="245">
        <v>8</v>
      </c>
      <c r="J39" s="245">
        <v>9</v>
      </c>
      <c r="K39" s="245">
        <v>10</v>
      </c>
      <c r="L39" s="245">
        <v>11</v>
      </c>
      <c r="M39" t="s">
        <v>267</v>
      </c>
    </row>
    <row r="40" spans="1:13" x14ac:dyDescent="0.25">
      <c r="A40" s="127" t="s">
        <v>268</v>
      </c>
      <c r="B40" s="1"/>
      <c r="C40" s="1">
        <f>ROUND((+C31/$M$40),2)</f>
        <v>32.979999999999997</v>
      </c>
      <c r="D40" s="1">
        <f t="shared" ref="D40:L40" si="20">ROUND((+D31/$M$40),2)</f>
        <v>33.81</v>
      </c>
      <c r="E40" s="1">
        <f t="shared" si="20"/>
        <v>34.65</v>
      </c>
      <c r="F40" s="1">
        <f t="shared" si="20"/>
        <v>35.520000000000003</v>
      </c>
      <c r="G40" s="1">
        <f t="shared" si="20"/>
        <v>36.409999999999997</v>
      </c>
      <c r="H40" s="1">
        <f t="shared" si="20"/>
        <v>37.14</v>
      </c>
      <c r="I40" s="1">
        <f t="shared" si="20"/>
        <v>37.880000000000003</v>
      </c>
      <c r="J40" s="1">
        <f t="shared" si="20"/>
        <v>38.64</v>
      </c>
      <c r="K40" s="1">
        <f t="shared" si="20"/>
        <v>39.409999999999997</v>
      </c>
      <c r="L40" s="1">
        <f t="shared" si="20"/>
        <v>40.39</v>
      </c>
      <c r="M40" s="228">
        <v>1827</v>
      </c>
    </row>
    <row r="41" spans="1:13" x14ac:dyDescent="0.25">
      <c r="A41" s="127" t="s">
        <v>269</v>
      </c>
      <c r="B41" s="1"/>
      <c r="C41" s="1">
        <f>ROUND((+C31/$M$41),2)</f>
        <v>28.97</v>
      </c>
      <c r="D41" s="1">
        <f t="shared" ref="D41:L41" si="21">ROUND((+D31/$M$41),2)</f>
        <v>29.7</v>
      </c>
      <c r="E41" s="1">
        <f t="shared" si="21"/>
        <v>30.44</v>
      </c>
      <c r="F41" s="1">
        <f t="shared" si="21"/>
        <v>31.2</v>
      </c>
      <c r="G41" s="1">
        <f t="shared" si="21"/>
        <v>31.98</v>
      </c>
      <c r="H41" s="1">
        <f t="shared" si="21"/>
        <v>32.619999999999997</v>
      </c>
      <c r="I41" s="1">
        <f t="shared" si="21"/>
        <v>33.270000000000003</v>
      </c>
      <c r="J41" s="1">
        <f t="shared" si="21"/>
        <v>33.94</v>
      </c>
      <c r="K41" s="1">
        <f t="shared" si="21"/>
        <v>34.619999999999997</v>
      </c>
      <c r="L41" s="1">
        <f t="shared" si="21"/>
        <v>35.479999999999997</v>
      </c>
      <c r="M41" s="228">
        <v>2080</v>
      </c>
    </row>
    <row r="42" spans="1:13" x14ac:dyDescent="0.25">
      <c r="A42" s="127" t="s">
        <v>270</v>
      </c>
      <c r="B42" s="1"/>
      <c r="C42" s="1">
        <f>ROUND((+C31/$M$42),2)</f>
        <v>28.86</v>
      </c>
      <c r="D42" s="1">
        <f t="shared" ref="D42:L42" si="22">ROUND((+D31/$M$42),2)</f>
        <v>29.58</v>
      </c>
      <c r="E42" s="1">
        <f t="shared" si="22"/>
        <v>30.32</v>
      </c>
      <c r="F42" s="1">
        <f t="shared" si="22"/>
        <v>31.08</v>
      </c>
      <c r="G42" s="1">
        <f t="shared" si="22"/>
        <v>31.86</v>
      </c>
      <c r="H42" s="1">
        <f t="shared" si="22"/>
        <v>32.49</v>
      </c>
      <c r="I42" s="1">
        <f t="shared" si="22"/>
        <v>33.14</v>
      </c>
      <c r="J42" s="1">
        <f t="shared" si="22"/>
        <v>33.81</v>
      </c>
      <c r="K42" s="1">
        <f t="shared" si="22"/>
        <v>34.479999999999997</v>
      </c>
      <c r="L42" s="1">
        <f t="shared" si="22"/>
        <v>35.340000000000003</v>
      </c>
      <c r="M42" s="228">
        <v>2088</v>
      </c>
    </row>
    <row r="43" spans="1:13" x14ac:dyDescent="0.25">
      <c r="A43" s="77" t="s">
        <v>271</v>
      </c>
      <c r="B43" s="228">
        <v>52.2</v>
      </c>
      <c r="C43" s="101" t="s">
        <v>272</v>
      </c>
      <c r="G43" s="46"/>
      <c r="H43" s="46"/>
      <c r="I43" s="46"/>
      <c r="J43" s="46"/>
      <c r="K43" s="46"/>
    </row>
    <row r="44" spans="1:13" x14ac:dyDescent="0.25">
      <c r="A44" s="129"/>
      <c r="G44" s="132"/>
    </row>
    <row r="45" spans="1:13" x14ac:dyDescent="0.25">
      <c r="A45" s="129" t="s">
        <v>274</v>
      </c>
      <c r="G45" s="132"/>
    </row>
    <row r="46" spans="1:13" x14ac:dyDescent="0.25">
      <c r="B46" s="101" t="s">
        <v>256</v>
      </c>
    </row>
    <row r="47" spans="1:13" x14ac:dyDescent="0.25">
      <c r="A47" s="127" t="s">
        <v>258</v>
      </c>
      <c r="B47" s="245">
        <v>1</v>
      </c>
      <c r="C47" s="245">
        <v>2</v>
      </c>
      <c r="D47" s="245">
        <v>3</v>
      </c>
      <c r="E47" s="245">
        <v>4</v>
      </c>
      <c r="F47" s="245">
        <v>5</v>
      </c>
      <c r="G47" s="245">
        <v>6</v>
      </c>
      <c r="H47" s="245">
        <v>7</v>
      </c>
      <c r="I47" s="245">
        <v>8</v>
      </c>
      <c r="J47" s="245">
        <v>9</v>
      </c>
      <c r="K47" s="245">
        <v>10</v>
      </c>
      <c r="L47" s="245">
        <v>11</v>
      </c>
    </row>
    <row r="48" spans="1:13" x14ac:dyDescent="0.25">
      <c r="A48" s="127" t="s">
        <v>252</v>
      </c>
      <c r="B48" s="107"/>
      <c r="C48" s="107">
        <f>ROUND((+C70*1.015),2)</f>
        <v>15.49</v>
      </c>
      <c r="D48" s="107">
        <f t="shared" ref="D48:L48" si="23">ROUND((+D70*1.015),2)</f>
        <v>15.86</v>
      </c>
      <c r="E48" s="107">
        <f t="shared" si="23"/>
        <v>16.29</v>
      </c>
      <c r="F48" s="107">
        <f t="shared" si="23"/>
        <v>16.66</v>
      </c>
      <c r="G48" s="107">
        <f t="shared" si="23"/>
        <v>17.09</v>
      </c>
      <c r="H48" s="107">
        <f t="shared" si="23"/>
        <v>17.48</v>
      </c>
      <c r="I48" s="107">
        <f t="shared" si="23"/>
        <v>17.86</v>
      </c>
      <c r="J48" s="107">
        <f t="shared" si="23"/>
        <v>18.23</v>
      </c>
      <c r="K48" s="107">
        <f t="shared" si="23"/>
        <v>18.59</v>
      </c>
      <c r="L48" s="107">
        <f t="shared" si="23"/>
        <v>19.059999999999999</v>
      </c>
    </row>
    <row r="49" spans="1:13" x14ac:dyDescent="0.25">
      <c r="A49" s="127" t="s">
        <v>253</v>
      </c>
      <c r="B49" s="107"/>
      <c r="C49" s="107">
        <f t="shared" ref="C49:L49" si="24">ROUND((+C71*1.015),2)</f>
        <v>18.260000000000002</v>
      </c>
      <c r="D49" s="107">
        <f t="shared" si="24"/>
        <v>18.71</v>
      </c>
      <c r="E49" s="107">
        <f t="shared" si="24"/>
        <v>19.170000000000002</v>
      </c>
      <c r="F49" s="107">
        <f t="shared" si="24"/>
        <v>19.66</v>
      </c>
      <c r="G49" s="107">
        <f t="shared" si="24"/>
        <v>20.149999999999999</v>
      </c>
      <c r="H49" s="107">
        <f t="shared" si="24"/>
        <v>20.67</v>
      </c>
      <c r="I49" s="107">
        <f t="shared" si="24"/>
        <v>21.06</v>
      </c>
      <c r="J49" s="107">
        <f t="shared" si="24"/>
        <v>21.5</v>
      </c>
      <c r="K49" s="107">
        <f t="shared" si="24"/>
        <v>21.92</v>
      </c>
      <c r="L49" s="107">
        <f t="shared" si="24"/>
        <v>22.47</v>
      </c>
    </row>
    <row r="50" spans="1:13" x14ac:dyDescent="0.25">
      <c r="A50" s="127" t="s">
        <v>254</v>
      </c>
      <c r="B50" s="107"/>
      <c r="C50" s="107">
        <f t="shared" ref="C50:L50" si="25">ROUND((+C72*1.015),2)</f>
        <v>19.649999999999999</v>
      </c>
      <c r="D50" s="107">
        <f t="shared" si="25"/>
        <v>20.13</v>
      </c>
      <c r="E50" s="107">
        <f t="shared" si="25"/>
        <v>20.65</v>
      </c>
      <c r="F50" s="107">
        <f t="shared" si="25"/>
        <v>21.14</v>
      </c>
      <c r="G50" s="107">
        <f t="shared" si="25"/>
        <v>21.7</v>
      </c>
      <c r="H50" s="107">
        <f t="shared" si="25"/>
        <v>22.21</v>
      </c>
      <c r="I50" s="107">
        <f t="shared" si="25"/>
        <v>22.68</v>
      </c>
      <c r="J50" s="107">
        <f t="shared" si="25"/>
        <v>23.12</v>
      </c>
      <c r="K50" s="107">
        <f t="shared" si="25"/>
        <v>23.58</v>
      </c>
      <c r="L50" s="107">
        <f t="shared" si="25"/>
        <v>24.17</v>
      </c>
    </row>
    <row r="51" spans="1:13" x14ac:dyDescent="0.25">
      <c r="A51" s="127" t="s">
        <v>255</v>
      </c>
      <c r="B51" s="107"/>
      <c r="C51" s="107">
        <f t="shared" ref="C51:L51" si="26">ROUND((+C73*1.015),2)</f>
        <v>21.41</v>
      </c>
      <c r="D51" s="107">
        <f t="shared" si="26"/>
        <v>21.94</v>
      </c>
      <c r="E51" s="107">
        <f t="shared" si="26"/>
        <v>22.49</v>
      </c>
      <c r="F51" s="107">
        <f t="shared" si="26"/>
        <v>23.05</v>
      </c>
      <c r="G51" s="107">
        <f t="shared" si="26"/>
        <v>23.64</v>
      </c>
      <c r="H51" s="107">
        <f t="shared" si="26"/>
        <v>24.23</v>
      </c>
      <c r="I51" s="107">
        <f t="shared" si="26"/>
        <v>24.71</v>
      </c>
      <c r="J51" s="107">
        <f t="shared" si="26"/>
        <v>25.21</v>
      </c>
      <c r="K51" s="107">
        <f t="shared" si="26"/>
        <v>25.7</v>
      </c>
      <c r="L51" s="107">
        <f t="shared" si="26"/>
        <v>26.34</v>
      </c>
    </row>
    <row r="52" spans="1:13" x14ac:dyDescent="0.25">
      <c r="A52" s="127" t="s">
        <v>259</v>
      </c>
      <c r="B52" s="107"/>
      <c r="C52" s="107">
        <f t="shared" ref="C52:L52" si="27">ROUND((+C74*1.015),2)</f>
        <v>23.11</v>
      </c>
      <c r="D52" s="107">
        <f t="shared" si="27"/>
        <v>23.7</v>
      </c>
      <c r="E52" s="107">
        <f t="shared" si="27"/>
        <v>24.28</v>
      </c>
      <c r="F52" s="107">
        <f t="shared" si="27"/>
        <v>24.89</v>
      </c>
      <c r="G52" s="107">
        <f t="shared" si="27"/>
        <v>25.51</v>
      </c>
      <c r="H52" s="107">
        <f t="shared" si="27"/>
        <v>26.15</v>
      </c>
      <c r="I52" s="107">
        <f t="shared" si="27"/>
        <v>26.67</v>
      </c>
      <c r="J52" s="107">
        <f t="shared" si="27"/>
        <v>27.21</v>
      </c>
      <c r="K52" s="107">
        <f t="shared" si="27"/>
        <v>27.75</v>
      </c>
      <c r="L52" s="107">
        <f t="shared" si="27"/>
        <v>28.44</v>
      </c>
    </row>
    <row r="53" spans="1:13" x14ac:dyDescent="0.25">
      <c r="A53" s="127" t="s">
        <v>260</v>
      </c>
      <c r="B53" s="130"/>
      <c r="C53" s="196">
        <f>ROUND((+C75*1.015),0)</f>
        <v>58508</v>
      </c>
      <c r="D53" s="196">
        <f t="shared" ref="D53:L53" si="28">ROUND((+D75*1.015),0)</f>
        <v>59968</v>
      </c>
      <c r="E53" s="196">
        <f t="shared" si="28"/>
        <v>61468</v>
      </c>
      <c r="F53" s="196">
        <f t="shared" si="28"/>
        <v>63005</v>
      </c>
      <c r="G53" s="196">
        <f t="shared" si="28"/>
        <v>64581</v>
      </c>
      <c r="H53" s="196">
        <f t="shared" si="28"/>
        <v>65871</v>
      </c>
      <c r="I53" s="196">
        <f t="shared" si="28"/>
        <v>67190</v>
      </c>
      <c r="J53" s="196">
        <f t="shared" si="28"/>
        <v>68533</v>
      </c>
      <c r="K53" s="196">
        <f t="shared" si="28"/>
        <v>69903</v>
      </c>
      <c r="L53" s="196">
        <f t="shared" si="28"/>
        <v>71650</v>
      </c>
    </row>
    <row r="54" spans="1:13" x14ac:dyDescent="0.25">
      <c r="A54" s="127" t="s">
        <v>261</v>
      </c>
      <c r="B54" s="130"/>
      <c r="C54" s="196">
        <f>ROUND((+C76*1.015),0)</f>
        <v>62170</v>
      </c>
      <c r="D54" s="196">
        <f t="shared" ref="D54:L54" si="29">ROUND((+D76*1.015),0)</f>
        <v>63725</v>
      </c>
      <c r="E54" s="196">
        <f t="shared" si="29"/>
        <v>65317</v>
      </c>
      <c r="F54" s="196">
        <f t="shared" si="29"/>
        <v>66949</v>
      </c>
      <c r="G54" s="196">
        <f t="shared" si="29"/>
        <v>68624</v>
      </c>
      <c r="H54" s="196">
        <f t="shared" si="29"/>
        <v>69997</v>
      </c>
      <c r="I54" s="196">
        <f t="shared" si="29"/>
        <v>71396</v>
      </c>
      <c r="J54" s="196">
        <f t="shared" si="29"/>
        <v>72824</v>
      </c>
      <c r="K54" s="196">
        <f t="shared" si="29"/>
        <v>74282</v>
      </c>
      <c r="L54" s="196">
        <f t="shared" si="29"/>
        <v>76139</v>
      </c>
    </row>
    <row r="55" spans="1:13" x14ac:dyDescent="0.25">
      <c r="A55" s="127" t="s">
        <v>262</v>
      </c>
      <c r="B55" s="189"/>
      <c r="C55" s="189"/>
      <c r="D55" s="189"/>
      <c r="E55" s="189"/>
      <c r="F55" s="189"/>
      <c r="G55" s="190">
        <f>+ROUND((((+G54*1.085)/$B$87)/37.69),2)</f>
        <v>37.85</v>
      </c>
      <c r="H55" s="190">
        <f t="shared" ref="H55:L55" si="30">+ROUND((((+H54*1.085)/$B$87)/37.69),2)</f>
        <v>38.6</v>
      </c>
      <c r="I55" s="190">
        <f t="shared" si="30"/>
        <v>39.369999999999997</v>
      </c>
      <c r="J55" s="190">
        <f t="shared" si="30"/>
        <v>40.159999999999997</v>
      </c>
      <c r="K55" s="190">
        <f t="shared" si="30"/>
        <v>40.97</v>
      </c>
      <c r="L55" s="190">
        <f t="shared" si="30"/>
        <v>41.99</v>
      </c>
    </row>
    <row r="56" spans="1:13" x14ac:dyDescent="0.25">
      <c r="A56" s="127" t="s">
        <v>263</v>
      </c>
      <c r="B56" s="130"/>
      <c r="C56" s="196">
        <f t="shared" ref="C56:L56" si="31">ROUND((+C78*1.015),0)</f>
        <v>79022</v>
      </c>
      <c r="D56" s="196">
        <f t="shared" si="31"/>
        <v>80996</v>
      </c>
      <c r="E56" s="196">
        <f t="shared" si="31"/>
        <v>83024</v>
      </c>
      <c r="F56" s="196">
        <f t="shared" si="31"/>
        <v>85099</v>
      </c>
      <c r="G56" s="196">
        <f t="shared" si="31"/>
        <v>87227</v>
      </c>
      <c r="H56" s="196">
        <f t="shared" si="31"/>
        <v>89407</v>
      </c>
      <c r="I56" s="196">
        <f t="shared" si="31"/>
        <v>91196</v>
      </c>
      <c r="J56" s="196">
        <f t="shared" si="31"/>
        <v>93018</v>
      </c>
      <c r="K56" s="196">
        <f t="shared" si="31"/>
        <v>94878</v>
      </c>
      <c r="L56" s="196">
        <f t="shared" si="31"/>
        <v>97250</v>
      </c>
    </row>
    <row r="57" spans="1:13" x14ac:dyDescent="0.25">
      <c r="A57" s="127" t="s">
        <v>264</v>
      </c>
      <c r="B57" s="130"/>
      <c r="C57" s="196">
        <f t="shared" ref="C57:L57" si="32">ROUND((+C79*1.015),0)</f>
        <v>86924</v>
      </c>
      <c r="D57" s="196">
        <f t="shared" si="32"/>
        <v>89098</v>
      </c>
      <c r="E57" s="196">
        <f t="shared" si="32"/>
        <v>91326</v>
      </c>
      <c r="F57" s="196">
        <f t="shared" si="32"/>
        <v>93607</v>
      </c>
      <c r="G57" s="196">
        <f t="shared" si="32"/>
        <v>95947</v>
      </c>
      <c r="H57" s="196">
        <f t="shared" si="32"/>
        <v>98345</v>
      </c>
      <c r="I57" s="196">
        <f t="shared" si="32"/>
        <v>100314</v>
      </c>
      <c r="J57" s="196">
        <f t="shared" si="32"/>
        <v>102319</v>
      </c>
      <c r="K57" s="196">
        <f t="shared" si="32"/>
        <v>104366</v>
      </c>
      <c r="L57" s="196">
        <f t="shared" si="32"/>
        <v>106976</v>
      </c>
    </row>
    <row r="58" spans="1:13" x14ac:dyDescent="0.25">
      <c r="A58" s="127" t="s">
        <v>265</v>
      </c>
      <c r="B58" s="130"/>
      <c r="C58" s="196">
        <f t="shared" ref="C58:L58" si="33">ROUND((+C80*1.015),0)</f>
        <v>95616</v>
      </c>
      <c r="D58" s="196">
        <f t="shared" si="33"/>
        <v>98008</v>
      </c>
      <c r="E58" s="196">
        <f t="shared" si="33"/>
        <v>100458</v>
      </c>
      <c r="F58" s="196">
        <f t="shared" si="33"/>
        <v>102969</v>
      </c>
      <c r="G58" s="196">
        <f t="shared" si="33"/>
        <v>105544</v>
      </c>
      <c r="H58" s="196">
        <f t="shared" si="33"/>
        <v>108182</v>
      </c>
      <c r="I58" s="196">
        <f t="shared" si="33"/>
        <v>110344</v>
      </c>
      <c r="J58" s="196">
        <f t="shared" si="33"/>
        <v>112552</v>
      </c>
      <c r="K58" s="196">
        <f t="shared" si="33"/>
        <v>114804</v>
      </c>
      <c r="L58" s="196">
        <f t="shared" si="33"/>
        <v>117673</v>
      </c>
    </row>
    <row r="60" spans="1:13" x14ac:dyDescent="0.25">
      <c r="A60" s="127" t="s">
        <v>49</v>
      </c>
      <c r="B60" s="101" t="s">
        <v>266</v>
      </c>
    </row>
    <row r="61" spans="1:13" x14ac:dyDescent="0.25">
      <c r="A61" s="127" t="s">
        <v>258</v>
      </c>
      <c r="B61" s="245">
        <v>1</v>
      </c>
      <c r="C61" s="245">
        <v>2</v>
      </c>
      <c r="D61" s="245">
        <v>3</v>
      </c>
      <c r="E61" s="245">
        <v>4</v>
      </c>
      <c r="F61" s="245">
        <v>5</v>
      </c>
      <c r="G61" s="245">
        <v>6</v>
      </c>
      <c r="H61" s="245">
        <v>7</v>
      </c>
      <c r="I61" s="245">
        <v>8</v>
      </c>
      <c r="J61" s="245">
        <v>9</v>
      </c>
      <c r="K61" s="245">
        <v>10</v>
      </c>
      <c r="L61" s="245">
        <v>11</v>
      </c>
      <c r="M61" t="s">
        <v>267</v>
      </c>
    </row>
    <row r="62" spans="1:13" x14ac:dyDescent="0.25">
      <c r="A62" s="127" t="s">
        <v>268</v>
      </c>
      <c r="B62" s="249"/>
      <c r="C62" s="1">
        <f>ROUND((+C53/+$M$62),2)</f>
        <v>32.020000000000003</v>
      </c>
      <c r="D62" s="1">
        <f t="shared" ref="D62:L62" si="34">ROUND((+D53/+$M$62),2)</f>
        <v>32.82</v>
      </c>
      <c r="E62" s="1">
        <f t="shared" si="34"/>
        <v>33.64</v>
      </c>
      <c r="F62" s="1">
        <f t="shared" si="34"/>
        <v>34.49</v>
      </c>
      <c r="G62" s="1">
        <f t="shared" si="34"/>
        <v>35.35</v>
      </c>
      <c r="H62" s="1">
        <f t="shared" si="34"/>
        <v>36.049999999999997</v>
      </c>
      <c r="I62" s="1">
        <f t="shared" si="34"/>
        <v>36.78</v>
      </c>
      <c r="J62" s="1">
        <f t="shared" si="34"/>
        <v>37.51</v>
      </c>
      <c r="K62" s="1">
        <f t="shared" si="34"/>
        <v>38.26</v>
      </c>
      <c r="L62" s="1">
        <f t="shared" si="34"/>
        <v>39.22</v>
      </c>
      <c r="M62" s="228">
        <v>1827</v>
      </c>
    </row>
    <row r="63" spans="1:13" x14ac:dyDescent="0.25">
      <c r="A63" s="127" t="s">
        <v>269</v>
      </c>
      <c r="B63" s="249"/>
      <c r="C63" s="1">
        <f>ROUND((+C53/$M$63),2)</f>
        <v>27.99</v>
      </c>
      <c r="D63" s="1">
        <f t="shared" ref="D63:L63" si="35">ROUND((+D53/$M$63),2)</f>
        <v>28.69</v>
      </c>
      <c r="E63" s="1">
        <f t="shared" si="35"/>
        <v>29.41</v>
      </c>
      <c r="F63" s="1">
        <f t="shared" si="35"/>
        <v>30.15</v>
      </c>
      <c r="G63" s="1">
        <f t="shared" si="35"/>
        <v>30.9</v>
      </c>
      <c r="H63" s="1">
        <f t="shared" si="35"/>
        <v>31.52</v>
      </c>
      <c r="I63" s="1">
        <f t="shared" si="35"/>
        <v>32.15</v>
      </c>
      <c r="J63" s="1">
        <f t="shared" si="35"/>
        <v>32.79</v>
      </c>
      <c r="K63" s="1">
        <f t="shared" si="35"/>
        <v>33.450000000000003</v>
      </c>
      <c r="L63" s="1">
        <f t="shared" si="35"/>
        <v>34.28</v>
      </c>
      <c r="M63" s="228">
        <v>2090</v>
      </c>
    </row>
    <row r="64" spans="1:13" x14ac:dyDescent="0.25">
      <c r="A64" s="127" t="s">
        <v>270</v>
      </c>
      <c r="B64" s="249"/>
      <c r="C64" s="1">
        <f>ROUND((+C53/$M$64),2)</f>
        <v>28.02</v>
      </c>
      <c r="D64" s="1">
        <f t="shared" ref="D64:L64" si="36">ROUND((+D53/$M$64),2)</f>
        <v>28.72</v>
      </c>
      <c r="E64" s="1">
        <f t="shared" si="36"/>
        <v>29.44</v>
      </c>
      <c r="F64" s="1">
        <f t="shared" si="36"/>
        <v>30.17</v>
      </c>
      <c r="G64" s="1">
        <f t="shared" si="36"/>
        <v>30.93</v>
      </c>
      <c r="H64" s="1">
        <f t="shared" si="36"/>
        <v>31.55</v>
      </c>
      <c r="I64" s="1">
        <f t="shared" si="36"/>
        <v>32.18</v>
      </c>
      <c r="J64" s="1">
        <f t="shared" si="36"/>
        <v>32.82</v>
      </c>
      <c r="K64" s="1">
        <f t="shared" si="36"/>
        <v>33.479999999999997</v>
      </c>
      <c r="L64" s="1">
        <f t="shared" si="36"/>
        <v>34.32</v>
      </c>
      <c r="M64" s="228">
        <v>2088</v>
      </c>
    </row>
    <row r="65" spans="1:12" x14ac:dyDescent="0.25">
      <c r="A65" s="77" t="s">
        <v>271</v>
      </c>
      <c r="B65" s="228">
        <v>52.2</v>
      </c>
      <c r="C65" s="101" t="s">
        <v>272</v>
      </c>
      <c r="G65" s="46"/>
      <c r="H65" s="46"/>
      <c r="I65" s="46"/>
      <c r="J65" s="46"/>
      <c r="K65" s="46"/>
    </row>
    <row r="66" spans="1:12" x14ac:dyDescent="0.25">
      <c r="A66" s="129"/>
      <c r="G66" s="132"/>
    </row>
    <row r="67" spans="1:12" x14ac:dyDescent="0.25">
      <c r="A67" s="129" t="s">
        <v>275</v>
      </c>
      <c r="G67" s="132"/>
    </row>
    <row r="68" spans="1:12" x14ac:dyDescent="0.25">
      <c r="B68" s="101" t="s">
        <v>256</v>
      </c>
    </row>
    <row r="69" spans="1:12" x14ac:dyDescent="0.25">
      <c r="A69" s="127" t="s">
        <v>258</v>
      </c>
      <c r="B69" s="245">
        <v>1</v>
      </c>
      <c r="C69" s="245">
        <v>2</v>
      </c>
      <c r="D69" s="245">
        <v>3</v>
      </c>
      <c r="E69" s="245">
        <v>4</v>
      </c>
      <c r="F69" s="245">
        <v>5</v>
      </c>
      <c r="G69" s="245">
        <v>6</v>
      </c>
      <c r="H69" s="245">
        <v>7</v>
      </c>
      <c r="I69" s="245">
        <v>8</v>
      </c>
      <c r="J69" s="245">
        <v>9</v>
      </c>
      <c r="K69" s="245">
        <v>10</v>
      </c>
      <c r="L69" s="245">
        <v>11</v>
      </c>
    </row>
    <row r="70" spans="1:12" x14ac:dyDescent="0.25">
      <c r="A70" s="127" t="s">
        <v>252</v>
      </c>
      <c r="B70" s="107"/>
      <c r="C70" s="107">
        <f>ROUND((+C92*1.015),2)</f>
        <v>15.26</v>
      </c>
      <c r="D70" s="107">
        <f t="shared" ref="D70:L70" si="37">ROUND((+D92*1.015),2)</f>
        <v>15.63</v>
      </c>
      <c r="E70" s="107">
        <f t="shared" si="37"/>
        <v>16.05</v>
      </c>
      <c r="F70" s="107">
        <f t="shared" si="37"/>
        <v>16.41</v>
      </c>
      <c r="G70" s="107">
        <f t="shared" si="37"/>
        <v>16.84</v>
      </c>
      <c r="H70" s="107">
        <f t="shared" si="37"/>
        <v>17.22</v>
      </c>
      <c r="I70" s="107">
        <f t="shared" si="37"/>
        <v>17.600000000000001</v>
      </c>
      <c r="J70" s="107">
        <f t="shared" si="37"/>
        <v>17.96</v>
      </c>
      <c r="K70" s="107">
        <f t="shared" si="37"/>
        <v>18.32</v>
      </c>
      <c r="L70" s="107">
        <f t="shared" si="37"/>
        <v>18.78</v>
      </c>
    </row>
    <row r="71" spans="1:12" x14ac:dyDescent="0.25">
      <c r="A71" s="127" t="s">
        <v>253</v>
      </c>
      <c r="B71" s="107"/>
      <c r="C71" s="107">
        <f t="shared" ref="C71:L74" si="38">ROUND((+C93*1.015),2)</f>
        <v>17.989999999999998</v>
      </c>
      <c r="D71" s="107">
        <f t="shared" si="38"/>
        <v>18.43</v>
      </c>
      <c r="E71" s="107">
        <f t="shared" si="38"/>
        <v>18.89</v>
      </c>
      <c r="F71" s="107">
        <f t="shared" si="38"/>
        <v>19.37</v>
      </c>
      <c r="G71" s="107">
        <f t="shared" si="38"/>
        <v>19.850000000000001</v>
      </c>
      <c r="H71" s="107">
        <f t="shared" si="38"/>
        <v>20.36</v>
      </c>
      <c r="I71" s="107">
        <f t="shared" si="38"/>
        <v>20.75</v>
      </c>
      <c r="J71" s="107">
        <f t="shared" si="38"/>
        <v>21.18</v>
      </c>
      <c r="K71" s="107">
        <f t="shared" si="38"/>
        <v>21.6</v>
      </c>
      <c r="L71" s="107">
        <f t="shared" si="38"/>
        <v>22.14</v>
      </c>
    </row>
    <row r="72" spans="1:12" x14ac:dyDescent="0.25">
      <c r="A72" s="127" t="s">
        <v>254</v>
      </c>
      <c r="B72" s="107"/>
      <c r="C72" s="107">
        <f t="shared" si="38"/>
        <v>19.36</v>
      </c>
      <c r="D72" s="107">
        <f t="shared" si="38"/>
        <v>19.829999999999998</v>
      </c>
      <c r="E72" s="107">
        <f t="shared" si="38"/>
        <v>20.34</v>
      </c>
      <c r="F72" s="107">
        <f t="shared" si="38"/>
        <v>20.83</v>
      </c>
      <c r="G72" s="107">
        <f t="shared" si="38"/>
        <v>21.38</v>
      </c>
      <c r="H72" s="107">
        <f t="shared" si="38"/>
        <v>21.88</v>
      </c>
      <c r="I72" s="107">
        <f t="shared" si="38"/>
        <v>22.34</v>
      </c>
      <c r="J72" s="107">
        <f t="shared" si="38"/>
        <v>22.78</v>
      </c>
      <c r="K72" s="107">
        <f t="shared" si="38"/>
        <v>23.23</v>
      </c>
      <c r="L72" s="107">
        <f t="shared" si="38"/>
        <v>23.81</v>
      </c>
    </row>
    <row r="73" spans="1:12" x14ac:dyDescent="0.25">
      <c r="A73" s="127" t="s">
        <v>255</v>
      </c>
      <c r="B73" s="107"/>
      <c r="C73" s="107">
        <f t="shared" si="38"/>
        <v>21.09</v>
      </c>
      <c r="D73" s="107">
        <f t="shared" si="38"/>
        <v>21.62</v>
      </c>
      <c r="E73" s="107">
        <f t="shared" si="38"/>
        <v>22.16</v>
      </c>
      <c r="F73" s="107">
        <f t="shared" si="38"/>
        <v>22.71</v>
      </c>
      <c r="G73" s="107">
        <f t="shared" si="38"/>
        <v>23.29</v>
      </c>
      <c r="H73" s="107">
        <f t="shared" si="38"/>
        <v>23.87</v>
      </c>
      <c r="I73" s="107">
        <f t="shared" si="38"/>
        <v>24.34</v>
      </c>
      <c r="J73" s="107">
        <f t="shared" si="38"/>
        <v>24.84</v>
      </c>
      <c r="K73" s="107">
        <f t="shared" si="38"/>
        <v>25.32</v>
      </c>
      <c r="L73" s="107">
        <f t="shared" si="38"/>
        <v>25.95</v>
      </c>
    </row>
    <row r="74" spans="1:12" x14ac:dyDescent="0.25">
      <c r="A74" s="127" t="s">
        <v>259</v>
      </c>
      <c r="B74" s="107"/>
      <c r="C74" s="107">
        <f t="shared" si="38"/>
        <v>22.77</v>
      </c>
      <c r="D74" s="107">
        <f t="shared" si="38"/>
        <v>23.35</v>
      </c>
      <c r="E74" s="107">
        <f t="shared" si="38"/>
        <v>23.92</v>
      </c>
      <c r="F74" s="107">
        <f t="shared" si="38"/>
        <v>24.52</v>
      </c>
      <c r="G74" s="107">
        <f t="shared" si="38"/>
        <v>25.13</v>
      </c>
      <c r="H74" s="107">
        <f t="shared" si="38"/>
        <v>25.76</v>
      </c>
      <c r="I74" s="107">
        <f t="shared" si="38"/>
        <v>26.28</v>
      </c>
      <c r="J74" s="107">
        <f t="shared" si="38"/>
        <v>26.81</v>
      </c>
      <c r="K74" s="107">
        <f t="shared" si="38"/>
        <v>27.34</v>
      </c>
      <c r="L74" s="107">
        <f t="shared" si="38"/>
        <v>28.02</v>
      </c>
    </row>
    <row r="75" spans="1:12" x14ac:dyDescent="0.25">
      <c r="A75" s="127" t="s">
        <v>260</v>
      </c>
      <c r="B75" s="130"/>
      <c r="C75" s="196">
        <f>ROUND((+C97*1.015),0)</f>
        <v>57643</v>
      </c>
      <c r="D75" s="196">
        <f t="shared" ref="D75:L75" si="39">ROUND((+D97*1.015),0)</f>
        <v>59082</v>
      </c>
      <c r="E75" s="196">
        <f t="shared" si="39"/>
        <v>60560</v>
      </c>
      <c r="F75" s="196">
        <f t="shared" si="39"/>
        <v>62074</v>
      </c>
      <c r="G75" s="196">
        <f t="shared" si="39"/>
        <v>63627</v>
      </c>
      <c r="H75" s="196">
        <f t="shared" si="39"/>
        <v>64898</v>
      </c>
      <c r="I75" s="196">
        <f t="shared" si="39"/>
        <v>66197</v>
      </c>
      <c r="J75" s="196">
        <f t="shared" si="39"/>
        <v>67520</v>
      </c>
      <c r="K75" s="196">
        <f t="shared" si="39"/>
        <v>68870</v>
      </c>
      <c r="L75" s="196">
        <f t="shared" si="39"/>
        <v>70591</v>
      </c>
    </row>
    <row r="76" spans="1:12" x14ac:dyDescent="0.25">
      <c r="A76" s="127" t="s">
        <v>261</v>
      </c>
      <c r="B76" s="130"/>
      <c r="C76" s="196">
        <f>ROUND((+C98*1.015),0)</f>
        <v>61251</v>
      </c>
      <c r="D76" s="196">
        <f t="shared" ref="D76:L76" si="40">ROUND((+D98*1.015),0)</f>
        <v>62783</v>
      </c>
      <c r="E76" s="196">
        <f t="shared" si="40"/>
        <v>64352</v>
      </c>
      <c r="F76" s="196">
        <f t="shared" si="40"/>
        <v>65960</v>
      </c>
      <c r="G76" s="196">
        <f t="shared" si="40"/>
        <v>67610</v>
      </c>
      <c r="H76" s="196">
        <f t="shared" si="40"/>
        <v>68963</v>
      </c>
      <c r="I76" s="196">
        <f t="shared" si="40"/>
        <v>70341</v>
      </c>
      <c r="J76" s="196">
        <f t="shared" si="40"/>
        <v>71748</v>
      </c>
      <c r="K76" s="196">
        <f t="shared" si="40"/>
        <v>73184</v>
      </c>
      <c r="L76" s="196">
        <f t="shared" si="40"/>
        <v>75014</v>
      </c>
    </row>
    <row r="77" spans="1:12" x14ac:dyDescent="0.25">
      <c r="A77" s="127" t="s">
        <v>262</v>
      </c>
      <c r="B77" s="189"/>
      <c r="C77" s="189"/>
      <c r="D77" s="189"/>
      <c r="E77" s="189"/>
      <c r="F77" s="189"/>
      <c r="G77" s="190">
        <f>+ROUND((((+G76*1.085)/$B$87)/37.69),2)</f>
        <v>37.29</v>
      </c>
      <c r="H77" s="190">
        <f t="shared" ref="H77:L77" si="41">+ROUND((((+H76*1.085)/$B$87)/37.69),2)</f>
        <v>38.03</v>
      </c>
      <c r="I77" s="190">
        <f t="shared" si="41"/>
        <v>38.79</v>
      </c>
      <c r="J77" s="190">
        <f t="shared" si="41"/>
        <v>39.57</v>
      </c>
      <c r="K77" s="190">
        <f t="shared" si="41"/>
        <v>40.36</v>
      </c>
      <c r="L77" s="190">
        <f t="shared" si="41"/>
        <v>41.37</v>
      </c>
    </row>
    <row r="78" spans="1:12" x14ac:dyDescent="0.25">
      <c r="A78" s="127" t="s">
        <v>263</v>
      </c>
      <c r="B78" s="130"/>
      <c r="C78" s="196">
        <f t="shared" ref="C78:L80" si="42">ROUND((+C100*1.015),0)</f>
        <v>77854</v>
      </c>
      <c r="D78" s="196">
        <f t="shared" si="42"/>
        <v>79799</v>
      </c>
      <c r="E78" s="196">
        <f t="shared" si="42"/>
        <v>81797</v>
      </c>
      <c r="F78" s="196">
        <f t="shared" si="42"/>
        <v>83841</v>
      </c>
      <c r="G78" s="196">
        <f t="shared" si="42"/>
        <v>85938</v>
      </c>
      <c r="H78" s="196">
        <f t="shared" si="42"/>
        <v>88086</v>
      </c>
      <c r="I78" s="196">
        <f t="shared" si="42"/>
        <v>89848</v>
      </c>
      <c r="J78" s="196">
        <f t="shared" si="42"/>
        <v>91643</v>
      </c>
      <c r="K78" s="196">
        <f t="shared" si="42"/>
        <v>93476</v>
      </c>
      <c r="L78" s="196">
        <f t="shared" si="42"/>
        <v>95813</v>
      </c>
    </row>
    <row r="79" spans="1:12" x14ac:dyDescent="0.25">
      <c r="A79" s="127" t="s">
        <v>264</v>
      </c>
      <c r="B79" s="130"/>
      <c r="C79" s="196">
        <f t="shared" si="42"/>
        <v>85639</v>
      </c>
      <c r="D79" s="196">
        <f t="shared" si="42"/>
        <v>87781</v>
      </c>
      <c r="E79" s="196">
        <f t="shared" si="42"/>
        <v>89976</v>
      </c>
      <c r="F79" s="196">
        <f t="shared" si="42"/>
        <v>92224</v>
      </c>
      <c r="G79" s="196">
        <f t="shared" si="42"/>
        <v>94529</v>
      </c>
      <c r="H79" s="196">
        <f t="shared" si="42"/>
        <v>96892</v>
      </c>
      <c r="I79" s="196">
        <f t="shared" si="42"/>
        <v>98832</v>
      </c>
      <c r="J79" s="196">
        <f t="shared" si="42"/>
        <v>100807</v>
      </c>
      <c r="K79" s="196">
        <f t="shared" si="42"/>
        <v>102824</v>
      </c>
      <c r="L79" s="196">
        <f t="shared" si="42"/>
        <v>105395</v>
      </c>
    </row>
    <row r="80" spans="1:12" x14ac:dyDescent="0.25">
      <c r="A80" s="127" t="s">
        <v>265</v>
      </c>
      <c r="B80" s="130"/>
      <c r="C80" s="196">
        <f t="shared" si="42"/>
        <v>94203</v>
      </c>
      <c r="D80" s="196">
        <f t="shared" si="42"/>
        <v>96560</v>
      </c>
      <c r="E80" s="196">
        <f t="shared" si="42"/>
        <v>98973</v>
      </c>
      <c r="F80" s="196">
        <f t="shared" si="42"/>
        <v>101447</v>
      </c>
      <c r="G80" s="196">
        <f t="shared" si="42"/>
        <v>103984</v>
      </c>
      <c r="H80" s="196">
        <f t="shared" si="42"/>
        <v>106583</v>
      </c>
      <c r="I80" s="196">
        <f t="shared" si="42"/>
        <v>108713</v>
      </c>
      <c r="J80" s="196">
        <f t="shared" si="42"/>
        <v>110889</v>
      </c>
      <c r="K80" s="196">
        <f t="shared" si="42"/>
        <v>113107</v>
      </c>
      <c r="L80" s="196">
        <f t="shared" si="42"/>
        <v>115934</v>
      </c>
    </row>
    <row r="82" spans="1:12" x14ac:dyDescent="0.25">
      <c r="A82" s="127" t="s">
        <v>49</v>
      </c>
      <c r="B82" s="101" t="s">
        <v>266</v>
      </c>
    </row>
    <row r="83" spans="1:12" x14ac:dyDescent="0.25">
      <c r="A83" s="127" t="s">
        <v>258</v>
      </c>
      <c r="B83" s="245">
        <v>1</v>
      </c>
      <c r="C83" s="245">
        <v>2</v>
      </c>
      <c r="D83" s="245">
        <v>3</v>
      </c>
      <c r="E83" s="245">
        <v>4</v>
      </c>
      <c r="F83" s="245">
        <v>5</v>
      </c>
      <c r="G83" s="245">
        <v>6</v>
      </c>
      <c r="H83" s="245">
        <v>7</v>
      </c>
      <c r="I83" s="245">
        <v>8</v>
      </c>
      <c r="J83" s="245">
        <v>9</v>
      </c>
      <c r="K83" s="245">
        <v>10</v>
      </c>
      <c r="L83" s="245">
        <v>11</v>
      </c>
    </row>
    <row r="84" spans="1:12" x14ac:dyDescent="0.25">
      <c r="A84" s="127" t="s">
        <v>268</v>
      </c>
      <c r="B84" s="1"/>
      <c r="C84" s="1" t="e">
        <f>ROUND((+C75/+#REF!),2)</f>
        <v>#REF!</v>
      </c>
      <c r="D84" s="1" t="e">
        <f>ROUND((+D75/+#REF!),2)</f>
        <v>#REF!</v>
      </c>
      <c r="E84" s="1" t="e">
        <f>ROUND((+E75/+#REF!),2)</f>
        <v>#REF!</v>
      </c>
      <c r="F84" s="1" t="e">
        <f>ROUND((+F75/+#REF!),2)</f>
        <v>#REF!</v>
      </c>
      <c r="G84" s="1" t="e">
        <f>ROUND((+G75/+#REF!),2)</f>
        <v>#REF!</v>
      </c>
      <c r="H84" s="1" t="e">
        <f>ROUND((+H75/+#REF!),2)</f>
        <v>#REF!</v>
      </c>
      <c r="I84" s="1" t="e">
        <f>ROUND((+I75/+#REF!),2)</f>
        <v>#REF!</v>
      </c>
      <c r="J84" s="1" t="e">
        <f>ROUND((+J75/+#REF!),2)</f>
        <v>#REF!</v>
      </c>
      <c r="K84" s="1" t="e">
        <f>ROUND((+K75/+#REF!),2)</f>
        <v>#REF!</v>
      </c>
      <c r="L84" s="1" t="e">
        <f>ROUND((+L75/+#REF!),2)</f>
        <v>#REF!</v>
      </c>
    </row>
    <row r="85" spans="1:12" x14ac:dyDescent="0.25">
      <c r="A85" s="127" t="s">
        <v>269</v>
      </c>
      <c r="B85" s="1"/>
      <c r="C85" s="1" t="e">
        <f>ROUND((+C75/#REF!),2)</f>
        <v>#REF!</v>
      </c>
      <c r="D85" s="1" t="e">
        <f>ROUND((+D75/#REF!),2)</f>
        <v>#REF!</v>
      </c>
      <c r="E85" s="1" t="e">
        <f>ROUND((+E75/#REF!),2)</f>
        <v>#REF!</v>
      </c>
      <c r="F85" s="1" t="e">
        <f>ROUND((+F75/#REF!),2)</f>
        <v>#REF!</v>
      </c>
      <c r="G85" s="1" t="e">
        <f>ROUND((+G75/#REF!),2)</f>
        <v>#REF!</v>
      </c>
      <c r="H85" s="1" t="e">
        <f>ROUND((+H75/#REF!),2)</f>
        <v>#REF!</v>
      </c>
      <c r="I85" s="1" t="e">
        <f>ROUND((+I75/#REF!),2)</f>
        <v>#REF!</v>
      </c>
      <c r="J85" s="1" t="e">
        <f>ROUND((+J75/#REF!),2)</f>
        <v>#REF!</v>
      </c>
      <c r="K85" s="1" t="e">
        <f>ROUND((+K75/#REF!),2)</f>
        <v>#REF!</v>
      </c>
      <c r="L85" s="1" t="e">
        <f>ROUND((+L75/#REF!),2)</f>
        <v>#REF!</v>
      </c>
    </row>
    <row r="86" spans="1:12" x14ac:dyDescent="0.25">
      <c r="A86" s="127" t="s">
        <v>270</v>
      </c>
      <c r="B86" s="1"/>
      <c r="C86" s="1" t="e">
        <f>ROUND((+C75/+#REF!),2)</f>
        <v>#REF!</v>
      </c>
      <c r="D86" s="1" t="e">
        <f>ROUND((+D75/+#REF!),2)</f>
        <v>#REF!</v>
      </c>
      <c r="E86" s="1" t="e">
        <f>ROUND((+E75/+#REF!),2)</f>
        <v>#REF!</v>
      </c>
      <c r="F86" s="1" t="e">
        <f>ROUND((+F75/+#REF!),2)</f>
        <v>#REF!</v>
      </c>
      <c r="G86" s="1" t="e">
        <f>ROUND((+G75/+#REF!),2)</f>
        <v>#REF!</v>
      </c>
      <c r="H86" s="1" t="e">
        <f>ROUND((+H75/+#REF!),2)</f>
        <v>#REF!</v>
      </c>
      <c r="I86" s="1" t="e">
        <f>ROUND((+I75/+#REF!),2)</f>
        <v>#REF!</v>
      </c>
      <c r="J86" s="1" t="e">
        <f>ROUND((+J75/+#REF!),2)</f>
        <v>#REF!</v>
      </c>
      <c r="K86" s="1" t="e">
        <f>ROUND((+K75/+#REF!),2)</f>
        <v>#REF!</v>
      </c>
      <c r="L86" s="1" t="e">
        <f>ROUND((+L75/+#REF!),2)</f>
        <v>#REF!</v>
      </c>
    </row>
    <row r="87" spans="1:12" x14ac:dyDescent="0.25">
      <c r="A87" s="77" t="s">
        <v>271</v>
      </c>
      <c r="B87" s="228">
        <v>52.2</v>
      </c>
      <c r="C87" s="101" t="s">
        <v>272</v>
      </c>
      <c r="G87" s="46"/>
      <c r="H87" s="46"/>
      <c r="I87" s="46"/>
      <c r="J87" s="46"/>
      <c r="K87" s="46"/>
    </row>
    <row r="89" spans="1:12" x14ac:dyDescent="0.25">
      <c r="A89" s="129" t="s">
        <v>276</v>
      </c>
    </row>
    <row r="90" spans="1:12" x14ac:dyDescent="0.25">
      <c r="B90" s="101" t="s">
        <v>256</v>
      </c>
      <c r="L90" s="143" t="s">
        <v>277</v>
      </c>
    </row>
    <row r="91" spans="1:12" x14ac:dyDescent="0.25">
      <c r="A91" s="127" t="s">
        <v>258</v>
      </c>
      <c r="B91" s="245">
        <v>1</v>
      </c>
      <c r="C91" s="245">
        <v>2</v>
      </c>
      <c r="D91" s="245">
        <v>3</v>
      </c>
      <c r="E91" s="245">
        <v>4</v>
      </c>
      <c r="F91" s="245">
        <v>5</v>
      </c>
      <c r="G91" s="245">
        <v>6</v>
      </c>
      <c r="H91" s="245">
        <v>7</v>
      </c>
      <c r="I91" s="245">
        <v>8</v>
      </c>
      <c r="J91" s="245">
        <v>9</v>
      </c>
      <c r="K91" s="245">
        <v>10</v>
      </c>
      <c r="L91" s="245">
        <v>11</v>
      </c>
    </row>
    <row r="92" spans="1:12" x14ac:dyDescent="0.25">
      <c r="A92" s="127" t="s">
        <v>252</v>
      </c>
      <c r="B92" s="107"/>
      <c r="C92" s="107">
        <f t="shared" ref="C92:K92" si="43">ROUND((+C114*1.01),2)</f>
        <v>15.03</v>
      </c>
      <c r="D92" s="107">
        <f t="shared" si="43"/>
        <v>15.4</v>
      </c>
      <c r="E92" s="107">
        <f t="shared" si="43"/>
        <v>15.81</v>
      </c>
      <c r="F92" s="107">
        <f t="shared" si="43"/>
        <v>16.170000000000002</v>
      </c>
      <c r="G92" s="107">
        <f t="shared" si="43"/>
        <v>16.59</v>
      </c>
      <c r="H92" s="107">
        <f t="shared" si="43"/>
        <v>16.97</v>
      </c>
      <c r="I92" s="107">
        <f t="shared" si="43"/>
        <v>17.34</v>
      </c>
      <c r="J92" s="107">
        <f t="shared" si="43"/>
        <v>17.690000000000001</v>
      </c>
      <c r="K92" s="107">
        <f t="shared" si="43"/>
        <v>18.05</v>
      </c>
      <c r="L92" s="198">
        <f>ROUND((+K92*1.025),2)</f>
        <v>18.5</v>
      </c>
    </row>
    <row r="93" spans="1:12" x14ac:dyDescent="0.25">
      <c r="A93" s="127" t="s">
        <v>253</v>
      </c>
      <c r="B93" s="107"/>
      <c r="C93" s="107">
        <f t="shared" ref="C93:K96" si="44">ROUND((+C115*1.01),2)</f>
        <v>17.72</v>
      </c>
      <c r="D93" s="107">
        <f t="shared" si="44"/>
        <v>18.16</v>
      </c>
      <c r="E93" s="107">
        <f t="shared" si="44"/>
        <v>18.61</v>
      </c>
      <c r="F93" s="107">
        <f t="shared" si="44"/>
        <v>19.079999999999998</v>
      </c>
      <c r="G93" s="107">
        <f t="shared" si="44"/>
        <v>19.559999999999999</v>
      </c>
      <c r="H93" s="107">
        <f t="shared" si="44"/>
        <v>20.059999999999999</v>
      </c>
      <c r="I93" s="107">
        <f t="shared" si="44"/>
        <v>20.440000000000001</v>
      </c>
      <c r="J93" s="107">
        <f t="shared" si="44"/>
        <v>20.87</v>
      </c>
      <c r="K93" s="107">
        <f t="shared" si="44"/>
        <v>21.28</v>
      </c>
      <c r="L93" s="198">
        <f t="shared" ref="L93:L96" si="45">ROUND((+K93*1.025),2)</f>
        <v>21.81</v>
      </c>
    </row>
    <row r="94" spans="1:12" x14ac:dyDescent="0.25">
      <c r="A94" s="127" t="s">
        <v>254</v>
      </c>
      <c r="B94" s="107"/>
      <c r="C94" s="107">
        <f t="shared" si="44"/>
        <v>19.07</v>
      </c>
      <c r="D94" s="107">
        <f t="shared" si="44"/>
        <v>19.54</v>
      </c>
      <c r="E94" s="107">
        <f t="shared" si="44"/>
        <v>20.04</v>
      </c>
      <c r="F94" s="107">
        <f t="shared" si="44"/>
        <v>20.52</v>
      </c>
      <c r="G94" s="107">
        <f t="shared" si="44"/>
        <v>21.06</v>
      </c>
      <c r="H94" s="107">
        <f t="shared" si="44"/>
        <v>21.56</v>
      </c>
      <c r="I94" s="107">
        <f t="shared" si="44"/>
        <v>22.01</v>
      </c>
      <c r="J94" s="107">
        <f t="shared" si="44"/>
        <v>22.44</v>
      </c>
      <c r="K94" s="107">
        <f t="shared" si="44"/>
        <v>22.89</v>
      </c>
      <c r="L94" s="198">
        <f t="shared" si="45"/>
        <v>23.46</v>
      </c>
    </row>
    <row r="95" spans="1:12" x14ac:dyDescent="0.25">
      <c r="A95" s="127" t="s">
        <v>255</v>
      </c>
      <c r="B95" s="107"/>
      <c r="C95" s="107">
        <f t="shared" si="44"/>
        <v>20.78</v>
      </c>
      <c r="D95" s="107">
        <f t="shared" si="44"/>
        <v>21.3</v>
      </c>
      <c r="E95" s="107">
        <f t="shared" si="44"/>
        <v>21.83</v>
      </c>
      <c r="F95" s="107">
        <f t="shared" si="44"/>
        <v>22.37</v>
      </c>
      <c r="G95" s="107">
        <f t="shared" si="44"/>
        <v>22.95</v>
      </c>
      <c r="H95" s="107">
        <f t="shared" si="44"/>
        <v>23.52</v>
      </c>
      <c r="I95" s="107">
        <f t="shared" si="44"/>
        <v>23.98</v>
      </c>
      <c r="J95" s="107">
        <f t="shared" si="44"/>
        <v>24.47</v>
      </c>
      <c r="K95" s="107">
        <f t="shared" si="44"/>
        <v>24.95</v>
      </c>
      <c r="L95" s="198">
        <f t="shared" si="45"/>
        <v>25.57</v>
      </c>
    </row>
    <row r="96" spans="1:12" x14ac:dyDescent="0.25">
      <c r="A96" s="127" t="s">
        <v>259</v>
      </c>
      <c r="B96" s="107"/>
      <c r="C96" s="107">
        <f t="shared" si="44"/>
        <v>22.43</v>
      </c>
      <c r="D96" s="107">
        <f t="shared" si="44"/>
        <v>23</v>
      </c>
      <c r="E96" s="107">
        <f t="shared" si="44"/>
        <v>23.57</v>
      </c>
      <c r="F96" s="107">
        <f t="shared" si="44"/>
        <v>24.16</v>
      </c>
      <c r="G96" s="107">
        <f t="shared" si="44"/>
        <v>24.76</v>
      </c>
      <c r="H96" s="107">
        <f t="shared" si="44"/>
        <v>25.38</v>
      </c>
      <c r="I96" s="107">
        <f t="shared" si="44"/>
        <v>25.89</v>
      </c>
      <c r="J96" s="107">
        <f t="shared" si="44"/>
        <v>26.41</v>
      </c>
      <c r="K96" s="107">
        <f t="shared" si="44"/>
        <v>26.94</v>
      </c>
      <c r="L96" s="198">
        <f t="shared" si="45"/>
        <v>27.61</v>
      </c>
    </row>
    <row r="97" spans="1:12" x14ac:dyDescent="0.25">
      <c r="A97" s="127" t="s">
        <v>260</v>
      </c>
      <c r="B97" s="196"/>
      <c r="C97" s="196">
        <f>ROUND((+C119*1.01),0)</f>
        <v>56791</v>
      </c>
      <c r="D97" s="196">
        <f t="shared" ref="D97:K97" si="46">ROUND((+D119*1.01),0)</f>
        <v>58209</v>
      </c>
      <c r="E97" s="196">
        <f t="shared" si="46"/>
        <v>59665</v>
      </c>
      <c r="F97" s="196">
        <f t="shared" si="46"/>
        <v>61157</v>
      </c>
      <c r="G97" s="196">
        <f t="shared" si="46"/>
        <v>62687</v>
      </c>
      <c r="H97" s="196">
        <f t="shared" si="46"/>
        <v>63939</v>
      </c>
      <c r="I97" s="196">
        <f t="shared" si="46"/>
        <v>65219</v>
      </c>
      <c r="J97" s="196">
        <f t="shared" si="46"/>
        <v>66522</v>
      </c>
      <c r="K97" s="196">
        <f t="shared" si="46"/>
        <v>67852</v>
      </c>
      <c r="L97" s="199">
        <f>ROUND((+K97*1.025),0)</f>
        <v>69548</v>
      </c>
    </row>
    <row r="98" spans="1:12" x14ac:dyDescent="0.25">
      <c r="A98" s="127" t="s">
        <v>261</v>
      </c>
      <c r="B98" s="196"/>
      <c r="C98" s="196">
        <f>ROUND((+C120*1.01),0)</f>
        <v>60346</v>
      </c>
      <c r="D98" s="196">
        <f t="shared" ref="D98:K98" si="47">ROUND((+D120*1.01),0)</f>
        <v>61855</v>
      </c>
      <c r="E98" s="196">
        <f t="shared" si="47"/>
        <v>63401</v>
      </c>
      <c r="F98" s="196">
        <f t="shared" si="47"/>
        <v>64985</v>
      </c>
      <c r="G98" s="196">
        <f t="shared" si="47"/>
        <v>66611</v>
      </c>
      <c r="H98" s="196">
        <f t="shared" si="47"/>
        <v>67944</v>
      </c>
      <c r="I98" s="196">
        <f t="shared" si="47"/>
        <v>69301</v>
      </c>
      <c r="J98" s="196">
        <f t="shared" si="47"/>
        <v>70688</v>
      </c>
      <c r="K98" s="196">
        <f t="shared" si="47"/>
        <v>72102</v>
      </c>
      <c r="L98" s="199">
        <f>ROUND((+K98*1.025),0)</f>
        <v>73905</v>
      </c>
    </row>
    <row r="99" spans="1:12" x14ac:dyDescent="0.25">
      <c r="A99" s="127" t="s">
        <v>262</v>
      </c>
      <c r="B99" s="197"/>
      <c r="C99" s="197">
        <f t="shared" ref="C99:F99" si="48">+ROUND((((+C98*1.085)/$B$109)/37.69),2)</f>
        <v>33.15</v>
      </c>
      <c r="D99" s="197">
        <f t="shared" si="48"/>
        <v>33.979999999999997</v>
      </c>
      <c r="E99" s="197">
        <f t="shared" si="48"/>
        <v>34.83</v>
      </c>
      <c r="F99" s="197">
        <f t="shared" si="48"/>
        <v>35.700000000000003</v>
      </c>
      <c r="G99" s="190">
        <f t="shared" ref="G99:L99" si="49">+ROUND((((+G98*1.085)/$B$109)/37.69),2)</f>
        <v>36.590000000000003</v>
      </c>
      <c r="H99" s="190">
        <f t="shared" si="49"/>
        <v>37.33</v>
      </c>
      <c r="I99" s="190">
        <f t="shared" si="49"/>
        <v>38.07</v>
      </c>
      <c r="J99" s="190">
        <f t="shared" si="49"/>
        <v>38.83</v>
      </c>
      <c r="K99" s="190">
        <f t="shared" si="49"/>
        <v>39.61</v>
      </c>
      <c r="L99" s="190">
        <f t="shared" si="49"/>
        <v>40.6</v>
      </c>
    </row>
    <row r="100" spans="1:12" x14ac:dyDescent="0.25">
      <c r="A100" s="127" t="s">
        <v>263</v>
      </c>
      <c r="B100" s="196"/>
      <c r="C100" s="196">
        <f t="shared" ref="C100:C102" si="50">ROUND((+C122*1.01),0)</f>
        <v>76703</v>
      </c>
      <c r="D100" s="196">
        <f t="shared" ref="D100:K100" si="51">ROUND((+D122*1.01),0)</f>
        <v>78620</v>
      </c>
      <c r="E100" s="196">
        <f t="shared" si="51"/>
        <v>80588</v>
      </c>
      <c r="F100" s="196">
        <f t="shared" si="51"/>
        <v>82602</v>
      </c>
      <c r="G100" s="196">
        <f t="shared" si="51"/>
        <v>84668</v>
      </c>
      <c r="H100" s="196">
        <f t="shared" si="51"/>
        <v>86784</v>
      </c>
      <c r="I100" s="196">
        <f t="shared" si="51"/>
        <v>88520</v>
      </c>
      <c r="J100" s="196">
        <f t="shared" si="51"/>
        <v>90289</v>
      </c>
      <c r="K100" s="196">
        <f t="shared" si="51"/>
        <v>92095</v>
      </c>
      <c r="L100" s="199">
        <f t="shared" ref="L100:L102" si="52">ROUND((+K100*1.025),0)</f>
        <v>94397</v>
      </c>
    </row>
    <row r="101" spans="1:12" x14ac:dyDescent="0.25">
      <c r="A101" s="127" t="s">
        <v>264</v>
      </c>
      <c r="B101" s="196"/>
      <c r="C101" s="196">
        <f t="shared" si="50"/>
        <v>84373</v>
      </c>
      <c r="D101" s="196">
        <f t="shared" ref="D101:K101" si="53">ROUND((+D123*1.01),0)</f>
        <v>86484</v>
      </c>
      <c r="E101" s="196">
        <f t="shared" si="53"/>
        <v>88646</v>
      </c>
      <c r="F101" s="196">
        <f t="shared" si="53"/>
        <v>90861</v>
      </c>
      <c r="G101" s="196">
        <f t="shared" si="53"/>
        <v>93132</v>
      </c>
      <c r="H101" s="196">
        <f t="shared" si="53"/>
        <v>95460</v>
      </c>
      <c r="I101" s="196">
        <f t="shared" si="53"/>
        <v>97371</v>
      </c>
      <c r="J101" s="196">
        <f t="shared" si="53"/>
        <v>99317</v>
      </c>
      <c r="K101" s="196">
        <f t="shared" si="53"/>
        <v>101304</v>
      </c>
      <c r="L101" s="199">
        <f t="shared" si="52"/>
        <v>103837</v>
      </c>
    </row>
    <row r="102" spans="1:12" x14ac:dyDescent="0.25">
      <c r="A102" s="127" t="s">
        <v>265</v>
      </c>
      <c r="B102" s="196"/>
      <c r="C102" s="196">
        <f t="shared" si="50"/>
        <v>92811</v>
      </c>
      <c r="D102" s="196">
        <f t="shared" ref="D102:K102" si="54">ROUND((+D124*1.01),0)</f>
        <v>95133</v>
      </c>
      <c r="E102" s="196">
        <f t="shared" si="54"/>
        <v>97510</v>
      </c>
      <c r="F102" s="196">
        <f t="shared" si="54"/>
        <v>99948</v>
      </c>
      <c r="G102" s="196">
        <f t="shared" si="54"/>
        <v>102447</v>
      </c>
      <c r="H102" s="196">
        <f t="shared" si="54"/>
        <v>105008</v>
      </c>
      <c r="I102" s="196">
        <f t="shared" si="54"/>
        <v>107106</v>
      </c>
      <c r="J102" s="196">
        <f t="shared" si="54"/>
        <v>109250</v>
      </c>
      <c r="K102" s="196">
        <f t="shared" si="54"/>
        <v>111435</v>
      </c>
      <c r="L102" s="199">
        <f t="shared" si="52"/>
        <v>114221</v>
      </c>
    </row>
    <row r="104" spans="1:12" x14ac:dyDescent="0.25">
      <c r="A104" s="127" t="s">
        <v>49</v>
      </c>
      <c r="B104" s="101" t="s">
        <v>266</v>
      </c>
    </row>
    <row r="105" spans="1:12" x14ac:dyDescent="0.25">
      <c r="A105" s="127" t="s">
        <v>258</v>
      </c>
      <c r="B105" s="245">
        <v>1</v>
      </c>
      <c r="C105" s="245">
        <v>2</v>
      </c>
      <c r="D105" s="245">
        <v>3</v>
      </c>
      <c r="E105" s="245">
        <v>4</v>
      </c>
      <c r="F105" s="245">
        <v>5</v>
      </c>
      <c r="G105" s="245">
        <v>6</v>
      </c>
      <c r="H105" s="245">
        <v>7</v>
      </c>
      <c r="I105" s="245">
        <v>8</v>
      </c>
      <c r="J105" s="245">
        <v>9</v>
      </c>
      <c r="K105" s="245">
        <v>10</v>
      </c>
      <c r="L105" s="245">
        <v>11</v>
      </c>
    </row>
    <row r="106" spans="1:12" x14ac:dyDescent="0.25">
      <c r="A106" s="127" t="s">
        <v>268</v>
      </c>
      <c r="B106" s="1">
        <f>ROUND((+B97/1834),2)</f>
        <v>0</v>
      </c>
      <c r="C106" s="1">
        <f>ROUND((+C97/1834),2)</f>
        <v>30.97</v>
      </c>
      <c r="D106" s="1">
        <f t="shared" ref="D106:L106" si="55">ROUND((+D97/1834),2)</f>
        <v>31.74</v>
      </c>
      <c r="E106" s="1">
        <f t="shared" si="55"/>
        <v>32.53</v>
      </c>
      <c r="F106" s="1">
        <f t="shared" si="55"/>
        <v>33.35</v>
      </c>
      <c r="G106" s="1">
        <f t="shared" si="55"/>
        <v>34.18</v>
      </c>
      <c r="H106" s="1">
        <f t="shared" si="55"/>
        <v>34.86</v>
      </c>
      <c r="I106" s="1">
        <f t="shared" si="55"/>
        <v>35.56</v>
      </c>
      <c r="J106" s="1">
        <f t="shared" si="55"/>
        <v>36.270000000000003</v>
      </c>
      <c r="K106" s="1">
        <f t="shared" si="55"/>
        <v>37</v>
      </c>
      <c r="L106" s="1">
        <f t="shared" si="55"/>
        <v>37.92</v>
      </c>
    </row>
    <row r="107" spans="1:12" x14ac:dyDescent="0.25">
      <c r="A107" s="127" t="s">
        <v>269</v>
      </c>
      <c r="B107" s="1">
        <f>ROUND((+B97/2100),2)</f>
        <v>0</v>
      </c>
      <c r="C107" s="1">
        <f t="shared" ref="C107:L107" si="56">ROUND((+C97/2100),2)</f>
        <v>27.04</v>
      </c>
      <c r="D107" s="1">
        <f t="shared" si="56"/>
        <v>27.72</v>
      </c>
      <c r="E107" s="1">
        <f t="shared" si="56"/>
        <v>28.41</v>
      </c>
      <c r="F107" s="1">
        <f t="shared" si="56"/>
        <v>29.12</v>
      </c>
      <c r="G107" s="1">
        <f t="shared" si="56"/>
        <v>29.85</v>
      </c>
      <c r="H107" s="1">
        <f t="shared" si="56"/>
        <v>30.45</v>
      </c>
      <c r="I107" s="1">
        <f t="shared" si="56"/>
        <v>31.06</v>
      </c>
      <c r="J107" s="1">
        <f t="shared" si="56"/>
        <v>31.68</v>
      </c>
      <c r="K107" s="1">
        <f t="shared" si="56"/>
        <v>32.31</v>
      </c>
      <c r="L107" s="1">
        <f t="shared" si="56"/>
        <v>33.119999999999997</v>
      </c>
    </row>
    <row r="108" spans="1:12" x14ac:dyDescent="0.25">
      <c r="A108" s="127" t="s">
        <v>270</v>
      </c>
      <c r="B108" s="1">
        <f>ROUND((+B97/2096),2)</f>
        <v>0</v>
      </c>
      <c r="C108" s="1">
        <f t="shared" ref="C108:L108" si="57">ROUND((+C97/2096),2)</f>
        <v>27.09</v>
      </c>
      <c r="D108" s="1">
        <f t="shared" si="57"/>
        <v>27.77</v>
      </c>
      <c r="E108" s="1">
        <f t="shared" si="57"/>
        <v>28.47</v>
      </c>
      <c r="F108" s="1">
        <f t="shared" si="57"/>
        <v>29.18</v>
      </c>
      <c r="G108" s="1">
        <f t="shared" si="57"/>
        <v>29.91</v>
      </c>
      <c r="H108" s="1">
        <f t="shared" si="57"/>
        <v>30.51</v>
      </c>
      <c r="I108" s="1">
        <f t="shared" si="57"/>
        <v>31.12</v>
      </c>
      <c r="J108" s="1">
        <f t="shared" si="57"/>
        <v>31.74</v>
      </c>
      <c r="K108" s="1">
        <f t="shared" si="57"/>
        <v>32.369999999999997</v>
      </c>
      <c r="L108" s="1">
        <f t="shared" si="57"/>
        <v>33.18</v>
      </c>
    </row>
    <row r="109" spans="1:12" x14ac:dyDescent="0.25">
      <c r="A109" s="77" t="s">
        <v>271</v>
      </c>
      <c r="B109">
        <v>52.4</v>
      </c>
      <c r="C109" s="101" t="s">
        <v>272</v>
      </c>
      <c r="G109" s="46"/>
      <c r="H109" s="46"/>
      <c r="I109" s="46"/>
      <c r="J109" s="46"/>
      <c r="K109" s="46"/>
      <c r="L109" s="46"/>
    </row>
    <row r="111" spans="1:12" x14ac:dyDescent="0.25">
      <c r="A111" s="129" t="s">
        <v>278</v>
      </c>
    </row>
    <row r="112" spans="1:12" x14ac:dyDescent="0.25">
      <c r="B112" s="101" t="s">
        <v>256</v>
      </c>
    </row>
    <row r="113" spans="1:12" x14ac:dyDescent="0.25">
      <c r="A113" s="127" t="s">
        <v>258</v>
      </c>
      <c r="B113" s="245">
        <v>1</v>
      </c>
      <c r="C113" s="245">
        <v>2</v>
      </c>
      <c r="D113" s="245">
        <v>3</v>
      </c>
      <c r="E113" s="245">
        <v>4</v>
      </c>
      <c r="F113" s="245">
        <v>5</v>
      </c>
      <c r="G113" s="245">
        <v>6</v>
      </c>
      <c r="H113" s="245">
        <v>7</v>
      </c>
      <c r="I113" s="245">
        <v>8</v>
      </c>
      <c r="J113" s="245">
        <v>9</v>
      </c>
      <c r="K113" s="245">
        <v>10</v>
      </c>
      <c r="L113" s="245">
        <v>11</v>
      </c>
    </row>
    <row r="114" spans="1:12" x14ac:dyDescent="0.25">
      <c r="A114" s="127" t="s">
        <v>252</v>
      </c>
      <c r="B114" s="107">
        <f>ROUND((+B136*1.02),2)</f>
        <v>14.52</v>
      </c>
      <c r="C114" s="107">
        <f t="shared" ref="C114:K114" si="58">ROUND((+C136*1.02),2)</f>
        <v>14.88</v>
      </c>
      <c r="D114" s="107">
        <f t="shared" si="58"/>
        <v>15.25</v>
      </c>
      <c r="E114" s="107">
        <f t="shared" si="58"/>
        <v>15.65</v>
      </c>
      <c r="F114" s="107">
        <f t="shared" si="58"/>
        <v>16.010000000000002</v>
      </c>
      <c r="G114" s="107">
        <f t="shared" si="58"/>
        <v>16.43</v>
      </c>
      <c r="H114" s="107">
        <f t="shared" si="58"/>
        <v>16.8</v>
      </c>
      <c r="I114" s="107">
        <f t="shared" si="58"/>
        <v>17.170000000000002</v>
      </c>
      <c r="J114" s="107">
        <f t="shared" si="58"/>
        <v>17.510000000000002</v>
      </c>
      <c r="K114" s="107">
        <f t="shared" si="58"/>
        <v>17.87</v>
      </c>
    </row>
    <row r="115" spans="1:12" x14ac:dyDescent="0.25">
      <c r="A115" s="127" t="s">
        <v>253</v>
      </c>
      <c r="B115" s="107">
        <f t="shared" ref="B115:K118" si="59">ROUND((+B137*1.02),2)</f>
        <v>17.12</v>
      </c>
      <c r="C115" s="107">
        <f t="shared" si="59"/>
        <v>17.54</v>
      </c>
      <c r="D115" s="107">
        <f t="shared" si="59"/>
        <v>17.98</v>
      </c>
      <c r="E115" s="107">
        <f t="shared" si="59"/>
        <v>18.43</v>
      </c>
      <c r="F115" s="107">
        <f t="shared" si="59"/>
        <v>18.89</v>
      </c>
      <c r="G115" s="107">
        <f t="shared" si="59"/>
        <v>19.37</v>
      </c>
      <c r="H115" s="107">
        <f t="shared" si="59"/>
        <v>19.86</v>
      </c>
      <c r="I115" s="107">
        <f t="shared" si="59"/>
        <v>20.239999999999998</v>
      </c>
      <c r="J115" s="107">
        <f t="shared" si="59"/>
        <v>20.66</v>
      </c>
      <c r="K115" s="107">
        <f t="shared" si="59"/>
        <v>21.07</v>
      </c>
    </row>
    <row r="116" spans="1:12" x14ac:dyDescent="0.25">
      <c r="A116" s="127" t="s">
        <v>254</v>
      </c>
      <c r="B116" s="107">
        <f t="shared" si="59"/>
        <v>18.420000000000002</v>
      </c>
      <c r="C116" s="107">
        <f t="shared" si="59"/>
        <v>18.88</v>
      </c>
      <c r="D116" s="107">
        <f t="shared" si="59"/>
        <v>19.350000000000001</v>
      </c>
      <c r="E116" s="107">
        <f t="shared" si="59"/>
        <v>19.84</v>
      </c>
      <c r="F116" s="107">
        <f t="shared" si="59"/>
        <v>20.32</v>
      </c>
      <c r="G116" s="107">
        <f t="shared" si="59"/>
        <v>20.85</v>
      </c>
      <c r="H116" s="107">
        <f t="shared" si="59"/>
        <v>21.35</v>
      </c>
      <c r="I116" s="107">
        <f t="shared" si="59"/>
        <v>21.79</v>
      </c>
      <c r="J116" s="107">
        <f t="shared" si="59"/>
        <v>22.22</v>
      </c>
      <c r="K116" s="107">
        <f t="shared" si="59"/>
        <v>22.66</v>
      </c>
    </row>
    <row r="117" spans="1:12" x14ac:dyDescent="0.25">
      <c r="A117" s="127" t="s">
        <v>255</v>
      </c>
      <c r="B117" s="107">
        <f t="shared" si="59"/>
        <v>20.07</v>
      </c>
      <c r="C117" s="107">
        <f t="shared" si="59"/>
        <v>20.57</v>
      </c>
      <c r="D117" s="107">
        <f t="shared" si="59"/>
        <v>21.09</v>
      </c>
      <c r="E117" s="107">
        <f t="shared" si="59"/>
        <v>21.61</v>
      </c>
      <c r="F117" s="107">
        <f t="shared" si="59"/>
        <v>22.15</v>
      </c>
      <c r="G117" s="107">
        <f t="shared" si="59"/>
        <v>22.72</v>
      </c>
      <c r="H117" s="107">
        <f t="shared" si="59"/>
        <v>23.29</v>
      </c>
      <c r="I117" s="107">
        <f t="shared" si="59"/>
        <v>23.74</v>
      </c>
      <c r="J117" s="107">
        <f t="shared" si="59"/>
        <v>24.23</v>
      </c>
      <c r="K117" s="107">
        <f t="shared" si="59"/>
        <v>24.7</v>
      </c>
    </row>
    <row r="118" spans="1:12" x14ac:dyDescent="0.25">
      <c r="A118" s="127" t="s">
        <v>259</v>
      </c>
      <c r="B118" s="107">
        <f t="shared" si="59"/>
        <v>21.66</v>
      </c>
      <c r="C118" s="107">
        <f t="shared" si="59"/>
        <v>22.21</v>
      </c>
      <c r="D118" s="107">
        <f t="shared" si="59"/>
        <v>22.77</v>
      </c>
      <c r="E118" s="107">
        <f t="shared" si="59"/>
        <v>23.34</v>
      </c>
      <c r="F118" s="107">
        <f t="shared" si="59"/>
        <v>23.92</v>
      </c>
      <c r="G118" s="107">
        <f t="shared" si="59"/>
        <v>24.51</v>
      </c>
      <c r="H118" s="107">
        <f t="shared" si="59"/>
        <v>25.13</v>
      </c>
      <c r="I118" s="107">
        <f t="shared" si="59"/>
        <v>25.63</v>
      </c>
      <c r="J118" s="107">
        <f t="shared" si="59"/>
        <v>26.15</v>
      </c>
      <c r="K118" s="107">
        <f t="shared" si="59"/>
        <v>26.67</v>
      </c>
    </row>
    <row r="119" spans="1:12" x14ac:dyDescent="0.25">
      <c r="A119" s="127" t="s">
        <v>260</v>
      </c>
      <c r="B119" s="130">
        <f>ROUND((+B141*1.02),0)</f>
        <v>54857</v>
      </c>
      <c r="C119" s="130">
        <f t="shared" ref="C119:K119" si="60">ROUND((+C141*1.02),0)</f>
        <v>56229</v>
      </c>
      <c r="D119" s="130">
        <f t="shared" si="60"/>
        <v>57633</v>
      </c>
      <c r="E119" s="130">
        <f t="shared" si="60"/>
        <v>59074</v>
      </c>
      <c r="F119" s="130">
        <f t="shared" si="60"/>
        <v>60551</v>
      </c>
      <c r="G119" s="130">
        <f t="shared" si="60"/>
        <v>62066</v>
      </c>
      <c r="H119" s="130">
        <f t="shared" si="60"/>
        <v>63306</v>
      </c>
      <c r="I119" s="130">
        <f t="shared" si="60"/>
        <v>64573</v>
      </c>
      <c r="J119" s="130">
        <f t="shared" si="60"/>
        <v>65863</v>
      </c>
      <c r="K119" s="130">
        <f t="shared" si="60"/>
        <v>67180</v>
      </c>
    </row>
    <row r="120" spans="1:12" x14ac:dyDescent="0.25">
      <c r="A120" s="127" t="s">
        <v>261</v>
      </c>
      <c r="B120" s="130">
        <f>ROUND((+B142*1.02),0)</f>
        <v>58291</v>
      </c>
      <c r="C120" s="130">
        <f t="shared" ref="C120:K120" si="61">ROUND((+C142*1.02),0)</f>
        <v>59749</v>
      </c>
      <c r="D120" s="130">
        <f t="shared" si="61"/>
        <v>61243</v>
      </c>
      <c r="E120" s="130">
        <f t="shared" si="61"/>
        <v>62773</v>
      </c>
      <c r="F120" s="130">
        <f t="shared" si="61"/>
        <v>64342</v>
      </c>
      <c r="G120" s="130">
        <f t="shared" si="61"/>
        <v>65951</v>
      </c>
      <c r="H120" s="130">
        <f t="shared" si="61"/>
        <v>67271</v>
      </c>
      <c r="I120" s="130">
        <f t="shared" si="61"/>
        <v>68615</v>
      </c>
      <c r="J120" s="130">
        <f t="shared" si="61"/>
        <v>69988</v>
      </c>
      <c r="K120" s="130">
        <f t="shared" si="61"/>
        <v>71388</v>
      </c>
    </row>
    <row r="121" spans="1:12" x14ac:dyDescent="0.25">
      <c r="A121" s="127"/>
      <c r="B121" s="130"/>
      <c r="C121" s="130"/>
      <c r="D121" s="130"/>
      <c r="E121" s="130"/>
      <c r="F121" s="130"/>
      <c r="G121" s="130"/>
      <c r="H121" s="130"/>
      <c r="I121" s="130"/>
      <c r="J121" s="130"/>
      <c r="K121" s="130"/>
    </row>
    <row r="122" spans="1:12" x14ac:dyDescent="0.25">
      <c r="A122" s="127" t="s">
        <v>263</v>
      </c>
      <c r="B122" s="130">
        <f t="shared" ref="B122:K124" si="62">ROUND((+B143*1.02),0)</f>
        <v>74094</v>
      </c>
      <c r="C122" s="130">
        <f t="shared" si="62"/>
        <v>75944</v>
      </c>
      <c r="D122" s="130">
        <f t="shared" si="62"/>
        <v>77842</v>
      </c>
      <c r="E122" s="130">
        <f t="shared" si="62"/>
        <v>79790</v>
      </c>
      <c r="F122" s="130">
        <f t="shared" si="62"/>
        <v>81784</v>
      </c>
      <c r="G122" s="130">
        <f t="shared" si="62"/>
        <v>83830</v>
      </c>
      <c r="H122" s="130">
        <f t="shared" si="62"/>
        <v>85925</v>
      </c>
      <c r="I122" s="130">
        <f t="shared" si="62"/>
        <v>87644</v>
      </c>
      <c r="J122" s="130">
        <f t="shared" si="62"/>
        <v>89395</v>
      </c>
      <c r="K122" s="130">
        <f t="shared" si="62"/>
        <v>91183</v>
      </c>
    </row>
    <row r="123" spans="1:12" x14ac:dyDescent="0.25">
      <c r="A123" s="127" t="s">
        <v>264</v>
      </c>
      <c r="B123" s="130">
        <f t="shared" si="62"/>
        <v>81501</v>
      </c>
      <c r="C123" s="130">
        <f t="shared" si="62"/>
        <v>83538</v>
      </c>
      <c r="D123" s="130">
        <f t="shared" si="62"/>
        <v>85628</v>
      </c>
      <c r="E123" s="130">
        <f t="shared" si="62"/>
        <v>87768</v>
      </c>
      <c r="F123" s="130">
        <f t="shared" si="62"/>
        <v>89961</v>
      </c>
      <c r="G123" s="130">
        <f t="shared" si="62"/>
        <v>92210</v>
      </c>
      <c r="H123" s="130">
        <f t="shared" si="62"/>
        <v>94515</v>
      </c>
      <c r="I123" s="130">
        <f t="shared" si="62"/>
        <v>96407</v>
      </c>
      <c r="J123" s="130">
        <f t="shared" si="62"/>
        <v>98334</v>
      </c>
      <c r="K123" s="130">
        <f t="shared" si="62"/>
        <v>100301</v>
      </c>
    </row>
    <row r="124" spans="1:12" x14ac:dyDescent="0.25">
      <c r="A124" s="127" t="s">
        <v>265</v>
      </c>
      <c r="B124" s="130">
        <f t="shared" si="62"/>
        <v>89651</v>
      </c>
      <c r="C124" s="130">
        <f t="shared" si="62"/>
        <v>91892</v>
      </c>
      <c r="D124" s="130">
        <f t="shared" si="62"/>
        <v>94191</v>
      </c>
      <c r="E124" s="130">
        <f t="shared" si="62"/>
        <v>96545</v>
      </c>
      <c r="F124" s="130">
        <f t="shared" si="62"/>
        <v>98958</v>
      </c>
      <c r="G124" s="130">
        <f t="shared" si="62"/>
        <v>101433</v>
      </c>
      <c r="H124" s="130">
        <f t="shared" si="62"/>
        <v>103968</v>
      </c>
      <c r="I124" s="130">
        <f t="shared" si="62"/>
        <v>106046</v>
      </c>
      <c r="J124" s="130">
        <f t="shared" si="62"/>
        <v>108168</v>
      </c>
      <c r="K124" s="130">
        <f t="shared" si="62"/>
        <v>110332</v>
      </c>
    </row>
    <row r="126" spans="1:12" x14ac:dyDescent="0.25">
      <c r="A126" s="127" t="s">
        <v>49</v>
      </c>
      <c r="B126" s="131" t="s">
        <v>279</v>
      </c>
      <c r="C126" s="141"/>
      <c r="D126" s="141"/>
      <c r="E126" s="141"/>
    </row>
    <row r="127" spans="1:12" x14ac:dyDescent="0.25">
      <c r="A127" s="127" t="s">
        <v>258</v>
      </c>
      <c r="B127" s="245">
        <v>1</v>
      </c>
      <c r="C127" s="245">
        <v>2</v>
      </c>
      <c r="D127" s="245">
        <v>3</v>
      </c>
      <c r="E127" s="245">
        <v>4</v>
      </c>
      <c r="F127" s="245">
        <v>5</v>
      </c>
      <c r="G127" s="245">
        <v>6</v>
      </c>
      <c r="H127" s="245">
        <v>7</v>
      </c>
      <c r="I127" s="245">
        <v>8</v>
      </c>
      <c r="J127" s="245">
        <v>9</v>
      </c>
      <c r="K127" s="245">
        <v>10</v>
      </c>
      <c r="L127" s="245">
        <v>11</v>
      </c>
    </row>
    <row r="128" spans="1:12" x14ac:dyDescent="0.25">
      <c r="A128" s="127" t="s">
        <v>268</v>
      </c>
      <c r="B128" s="1">
        <f>ROUND((+B119/1820),2)</f>
        <v>30.14</v>
      </c>
      <c r="C128" s="1">
        <f t="shared" ref="C128:K128" si="63">ROUND((+C119/1820),2)</f>
        <v>30.9</v>
      </c>
      <c r="D128" s="1">
        <f t="shared" si="63"/>
        <v>31.67</v>
      </c>
      <c r="E128" s="1">
        <f t="shared" si="63"/>
        <v>32.46</v>
      </c>
      <c r="F128" s="1">
        <f t="shared" si="63"/>
        <v>33.270000000000003</v>
      </c>
      <c r="G128" s="1">
        <f t="shared" si="63"/>
        <v>34.1</v>
      </c>
      <c r="H128" s="1">
        <f t="shared" si="63"/>
        <v>34.78</v>
      </c>
      <c r="I128" s="1">
        <f t="shared" si="63"/>
        <v>35.479999999999997</v>
      </c>
      <c r="J128" s="1">
        <f t="shared" si="63"/>
        <v>36.19</v>
      </c>
      <c r="K128" s="1">
        <f t="shared" si="63"/>
        <v>36.909999999999997</v>
      </c>
    </row>
    <row r="129" spans="1:12" x14ac:dyDescent="0.25">
      <c r="A129" s="127" t="s">
        <v>269</v>
      </c>
      <c r="B129" s="1">
        <f>ROUND((+B119/2080),2)</f>
        <v>26.37</v>
      </c>
      <c r="C129" s="1">
        <f t="shared" ref="C129:K129" si="64">ROUND((+C119/2080),2)</f>
        <v>27.03</v>
      </c>
      <c r="D129" s="1">
        <f t="shared" si="64"/>
        <v>27.71</v>
      </c>
      <c r="E129" s="1">
        <f t="shared" si="64"/>
        <v>28.4</v>
      </c>
      <c r="F129" s="1">
        <f t="shared" si="64"/>
        <v>29.11</v>
      </c>
      <c r="G129" s="1">
        <f t="shared" si="64"/>
        <v>29.84</v>
      </c>
      <c r="H129" s="1">
        <f t="shared" si="64"/>
        <v>30.44</v>
      </c>
      <c r="I129" s="1">
        <f t="shared" si="64"/>
        <v>31.04</v>
      </c>
      <c r="J129" s="1">
        <f t="shared" si="64"/>
        <v>31.66</v>
      </c>
      <c r="K129" s="1">
        <f t="shared" si="64"/>
        <v>32.299999999999997</v>
      </c>
    </row>
    <row r="130" spans="1:12" x14ac:dyDescent="0.25">
      <c r="A130" s="127" t="s">
        <v>270</v>
      </c>
      <c r="B130" s="1">
        <f>ROUND((+B119/2080),2)</f>
        <v>26.37</v>
      </c>
      <c r="C130" s="1">
        <f t="shared" ref="C130:K130" si="65">ROUND((+C119/2080),2)</f>
        <v>27.03</v>
      </c>
      <c r="D130" s="1">
        <f t="shared" si="65"/>
        <v>27.71</v>
      </c>
      <c r="E130" s="1">
        <f t="shared" si="65"/>
        <v>28.4</v>
      </c>
      <c r="F130" s="1">
        <f t="shared" si="65"/>
        <v>29.11</v>
      </c>
      <c r="G130" s="1">
        <f t="shared" si="65"/>
        <v>29.84</v>
      </c>
      <c r="H130" s="1">
        <f t="shared" si="65"/>
        <v>30.44</v>
      </c>
      <c r="I130" s="1">
        <f t="shared" si="65"/>
        <v>31.04</v>
      </c>
      <c r="J130" s="1">
        <f t="shared" si="65"/>
        <v>31.66</v>
      </c>
      <c r="K130" s="1">
        <f t="shared" si="65"/>
        <v>32.299999999999997</v>
      </c>
    </row>
    <row r="131" spans="1:12" x14ac:dyDescent="0.25">
      <c r="A131" s="77" t="s">
        <v>271</v>
      </c>
      <c r="G131" s="46">
        <f>ROUND(((+G120*1.085)/52/37.69),2)</f>
        <v>36.51</v>
      </c>
      <c r="H131" s="46">
        <f>ROUND(((+H120*1.085)/52/37.69),2)</f>
        <v>37.24</v>
      </c>
      <c r="I131" s="46">
        <f>ROUND(((+I120*1.085)/52/37.69),2)</f>
        <v>37.99</v>
      </c>
      <c r="J131" s="46">
        <f>ROUND(((+J120*1.085)/52/37.69),2)</f>
        <v>38.75</v>
      </c>
      <c r="K131" s="46">
        <f>ROUND(((+K120*1.085)/52/37.69),2)</f>
        <v>39.520000000000003</v>
      </c>
    </row>
    <row r="133" spans="1:12" x14ac:dyDescent="0.25">
      <c r="A133" s="129" t="s">
        <v>280</v>
      </c>
    </row>
    <row r="134" spans="1:12" x14ac:dyDescent="0.25">
      <c r="B134" s="101" t="s">
        <v>256</v>
      </c>
    </row>
    <row r="135" spans="1:12" x14ac:dyDescent="0.25">
      <c r="A135" s="127" t="s">
        <v>258</v>
      </c>
      <c r="B135" s="245">
        <v>1</v>
      </c>
      <c r="C135" s="245">
        <v>2</v>
      </c>
      <c r="D135" s="245">
        <v>3</v>
      </c>
      <c r="E135" s="245">
        <v>4</v>
      </c>
      <c r="F135" s="245">
        <v>5</v>
      </c>
      <c r="G135" s="245">
        <v>6</v>
      </c>
      <c r="H135" s="245">
        <v>7</v>
      </c>
      <c r="I135" s="245">
        <v>8</v>
      </c>
      <c r="J135" s="245">
        <v>9</v>
      </c>
      <c r="K135" s="245">
        <v>10</v>
      </c>
      <c r="L135" s="245">
        <v>11</v>
      </c>
    </row>
    <row r="136" spans="1:12" x14ac:dyDescent="0.25">
      <c r="A136" s="127" t="s">
        <v>252</v>
      </c>
      <c r="B136" s="107">
        <f>ROUND((+B157*1.015),2)</f>
        <v>14.24</v>
      </c>
      <c r="C136" s="107">
        <f t="shared" ref="C136:K136" si="66">ROUND((+C157*1.015),2)</f>
        <v>14.59</v>
      </c>
      <c r="D136" s="107">
        <f t="shared" si="66"/>
        <v>14.95</v>
      </c>
      <c r="E136" s="107">
        <f t="shared" si="66"/>
        <v>15.34</v>
      </c>
      <c r="F136" s="107">
        <f t="shared" si="66"/>
        <v>15.7</v>
      </c>
      <c r="G136" s="107">
        <f t="shared" si="66"/>
        <v>16.11</v>
      </c>
      <c r="H136" s="107">
        <f t="shared" si="66"/>
        <v>16.47</v>
      </c>
      <c r="I136" s="107">
        <f t="shared" si="66"/>
        <v>16.829999999999998</v>
      </c>
      <c r="J136" s="107">
        <f t="shared" si="66"/>
        <v>17.170000000000002</v>
      </c>
      <c r="K136" s="107">
        <f t="shared" si="66"/>
        <v>17.52</v>
      </c>
    </row>
    <row r="137" spans="1:12" x14ac:dyDescent="0.25">
      <c r="A137" s="127" t="s">
        <v>253</v>
      </c>
      <c r="B137" s="107">
        <f t="shared" ref="B137:K140" si="67">ROUND((+B158*1.015),2)</f>
        <v>16.78</v>
      </c>
      <c r="C137" s="107">
        <f t="shared" si="67"/>
        <v>17.2</v>
      </c>
      <c r="D137" s="107">
        <f t="shared" si="67"/>
        <v>17.63</v>
      </c>
      <c r="E137" s="107">
        <f t="shared" si="67"/>
        <v>18.07</v>
      </c>
      <c r="F137" s="107">
        <f t="shared" si="67"/>
        <v>18.52</v>
      </c>
      <c r="G137" s="107">
        <f t="shared" si="67"/>
        <v>18.989999999999998</v>
      </c>
      <c r="H137" s="107">
        <f t="shared" si="67"/>
        <v>19.47</v>
      </c>
      <c r="I137" s="107">
        <f t="shared" si="67"/>
        <v>19.84</v>
      </c>
      <c r="J137" s="107">
        <f t="shared" si="67"/>
        <v>20.25</v>
      </c>
      <c r="K137" s="107">
        <f t="shared" si="67"/>
        <v>20.66</v>
      </c>
    </row>
    <row r="138" spans="1:12" x14ac:dyDescent="0.25">
      <c r="A138" s="127" t="s">
        <v>254</v>
      </c>
      <c r="B138" s="107">
        <f t="shared" si="67"/>
        <v>18.059999999999999</v>
      </c>
      <c r="C138" s="107">
        <f t="shared" si="67"/>
        <v>18.510000000000002</v>
      </c>
      <c r="D138" s="107">
        <f t="shared" si="67"/>
        <v>18.97</v>
      </c>
      <c r="E138" s="107">
        <f t="shared" si="67"/>
        <v>19.45</v>
      </c>
      <c r="F138" s="107">
        <f t="shared" si="67"/>
        <v>19.920000000000002</v>
      </c>
      <c r="G138" s="107">
        <f t="shared" si="67"/>
        <v>20.440000000000001</v>
      </c>
      <c r="H138" s="107">
        <f t="shared" si="67"/>
        <v>20.93</v>
      </c>
      <c r="I138" s="107">
        <f t="shared" si="67"/>
        <v>21.36</v>
      </c>
      <c r="J138" s="107">
        <f t="shared" si="67"/>
        <v>21.78</v>
      </c>
      <c r="K138" s="107">
        <f t="shared" si="67"/>
        <v>22.22</v>
      </c>
    </row>
    <row r="139" spans="1:12" x14ac:dyDescent="0.25">
      <c r="A139" s="127" t="s">
        <v>255</v>
      </c>
      <c r="B139" s="107">
        <f t="shared" si="67"/>
        <v>19.68</v>
      </c>
      <c r="C139" s="107">
        <f t="shared" si="67"/>
        <v>20.170000000000002</v>
      </c>
      <c r="D139" s="107">
        <f t="shared" si="67"/>
        <v>20.68</v>
      </c>
      <c r="E139" s="107">
        <f t="shared" si="67"/>
        <v>21.19</v>
      </c>
      <c r="F139" s="107">
        <f t="shared" si="67"/>
        <v>21.72</v>
      </c>
      <c r="G139" s="107">
        <f t="shared" si="67"/>
        <v>22.27</v>
      </c>
      <c r="H139" s="107">
        <f t="shared" si="67"/>
        <v>22.83</v>
      </c>
      <c r="I139" s="107">
        <f t="shared" si="67"/>
        <v>23.27</v>
      </c>
      <c r="J139" s="107">
        <f t="shared" si="67"/>
        <v>23.75</v>
      </c>
      <c r="K139" s="107">
        <f t="shared" si="67"/>
        <v>24.22</v>
      </c>
    </row>
    <row r="140" spans="1:12" x14ac:dyDescent="0.25">
      <c r="A140" s="127" t="s">
        <v>259</v>
      </c>
      <c r="B140" s="107">
        <f t="shared" si="67"/>
        <v>21.24</v>
      </c>
      <c r="C140" s="107">
        <f t="shared" si="67"/>
        <v>21.77</v>
      </c>
      <c r="D140" s="107">
        <f t="shared" si="67"/>
        <v>22.32</v>
      </c>
      <c r="E140" s="107">
        <f t="shared" si="67"/>
        <v>22.88</v>
      </c>
      <c r="F140" s="107">
        <f t="shared" si="67"/>
        <v>23.45</v>
      </c>
      <c r="G140" s="107">
        <f t="shared" si="67"/>
        <v>24.03</v>
      </c>
      <c r="H140" s="107">
        <f t="shared" si="67"/>
        <v>24.64</v>
      </c>
      <c r="I140" s="107">
        <f t="shared" si="67"/>
        <v>25.13</v>
      </c>
      <c r="J140" s="107">
        <f t="shared" si="67"/>
        <v>25.64</v>
      </c>
      <c r="K140" s="107">
        <f t="shared" si="67"/>
        <v>26.15</v>
      </c>
    </row>
    <row r="141" spans="1:12" x14ac:dyDescent="0.25">
      <c r="A141" s="127" t="s">
        <v>260</v>
      </c>
      <c r="B141" s="130">
        <f>ROUND((+B162*1.015),0)</f>
        <v>53781</v>
      </c>
      <c r="C141" s="130">
        <f t="shared" ref="C141:K141" si="68">ROUND((+C162*1.015),0)</f>
        <v>55126</v>
      </c>
      <c r="D141" s="130">
        <f t="shared" si="68"/>
        <v>56503</v>
      </c>
      <c r="E141" s="130">
        <f t="shared" si="68"/>
        <v>57916</v>
      </c>
      <c r="F141" s="130">
        <f t="shared" si="68"/>
        <v>59364</v>
      </c>
      <c r="G141" s="130">
        <f t="shared" si="68"/>
        <v>60849</v>
      </c>
      <c r="H141" s="130">
        <f t="shared" si="68"/>
        <v>62065</v>
      </c>
      <c r="I141" s="130">
        <f t="shared" si="68"/>
        <v>63307</v>
      </c>
      <c r="J141" s="130">
        <f t="shared" si="68"/>
        <v>64572</v>
      </c>
      <c r="K141" s="130">
        <f t="shared" si="68"/>
        <v>65863</v>
      </c>
    </row>
    <row r="142" spans="1:12" x14ac:dyDescent="0.25">
      <c r="A142" s="127" t="s">
        <v>261</v>
      </c>
      <c r="B142" s="130">
        <f t="shared" ref="B142:K145" si="69">ROUND((+B163*1.015),0)</f>
        <v>57148</v>
      </c>
      <c r="C142" s="130">
        <f t="shared" si="69"/>
        <v>58577</v>
      </c>
      <c r="D142" s="130">
        <f t="shared" si="69"/>
        <v>60042</v>
      </c>
      <c r="E142" s="130">
        <f t="shared" si="69"/>
        <v>61542</v>
      </c>
      <c r="F142" s="130">
        <f t="shared" si="69"/>
        <v>63080</v>
      </c>
      <c r="G142" s="130">
        <f t="shared" si="69"/>
        <v>64658</v>
      </c>
      <c r="H142" s="130">
        <f t="shared" si="69"/>
        <v>65952</v>
      </c>
      <c r="I142" s="130">
        <f t="shared" si="69"/>
        <v>67270</v>
      </c>
      <c r="J142" s="130">
        <f t="shared" si="69"/>
        <v>68616</v>
      </c>
      <c r="K142" s="130">
        <f t="shared" si="69"/>
        <v>69988</v>
      </c>
    </row>
    <row r="143" spans="1:12" x14ac:dyDescent="0.25">
      <c r="A143" s="127" t="s">
        <v>263</v>
      </c>
      <c r="B143" s="130">
        <f t="shared" si="69"/>
        <v>72641</v>
      </c>
      <c r="C143" s="130">
        <f t="shared" si="69"/>
        <v>74455</v>
      </c>
      <c r="D143" s="130">
        <f t="shared" si="69"/>
        <v>76316</v>
      </c>
      <c r="E143" s="130">
        <f t="shared" si="69"/>
        <v>78225</v>
      </c>
      <c r="F143" s="130">
        <f t="shared" si="69"/>
        <v>80180</v>
      </c>
      <c r="G143" s="130">
        <f t="shared" si="69"/>
        <v>82186</v>
      </c>
      <c r="H143" s="130">
        <f t="shared" si="69"/>
        <v>84240</v>
      </c>
      <c r="I143" s="130">
        <f t="shared" si="69"/>
        <v>85925</v>
      </c>
      <c r="J143" s="130">
        <f t="shared" si="69"/>
        <v>87642</v>
      </c>
      <c r="K143" s="130">
        <f t="shared" si="69"/>
        <v>89395</v>
      </c>
    </row>
    <row r="144" spans="1:12" x14ac:dyDescent="0.25">
      <c r="A144" s="127" t="s">
        <v>264</v>
      </c>
      <c r="B144" s="130">
        <f t="shared" si="69"/>
        <v>79903</v>
      </c>
      <c r="C144" s="130">
        <f t="shared" si="69"/>
        <v>81900</v>
      </c>
      <c r="D144" s="130">
        <f t="shared" si="69"/>
        <v>83949</v>
      </c>
      <c r="E144" s="130">
        <f t="shared" si="69"/>
        <v>86047</v>
      </c>
      <c r="F144" s="130">
        <f t="shared" si="69"/>
        <v>88197</v>
      </c>
      <c r="G144" s="130">
        <f t="shared" si="69"/>
        <v>90402</v>
      </c>
      <c r="H144" s="130">
        <f t="shared" si="69"/>
        <v>92662</v>
      </c>
      <c r="I144" s="130">
        <f t="shared" si="69"/>
        <v>94517</v>
      </c>
      <c r="J144" s="130">
        <f t="shared" si="69"/>
        <v>96406</v>
      </c>
      <c r="K144" s="130">
        <f t="shared" si="69"/>
        <v>98334</v>
      </c>
    </row>
    <row r="145" spans="1:15" x14ac:dyDescent="0.25">
      <c r="A145" s="127" t="s">
        <v>265</v>
      </c>
      <c r="B145" s="130">
        <f t="shared" si="69"/>
        <v>87893</v>
      </c>
      <c r="C145" s="130">
        <f t="shared" si="69"/>
        <v>90090</v>
      </c>
      <c r="D145" s="130">
        <f t="shared" si="69"/>
        <v>92344</v>
      </c>
      <c r="E145" s="130">
        <f t="shared" si="69"/>
        <v>94652</v>
      </c>
      <c r="F145" s="130">
        <f t="shared" si="69"/>
        <v>97018</v>
      </c>
      <c r="G145" s="130">
        <f t="shared" si="69"/>
        <v>99444</v>
      </c>
      <c r="H145" s="130">
        <f t="shared" si="69"/>
        <v>101929</v>
      </c>
      <c r="I145" s="130">
        <f t="shared" si="69"/>
        <v>103967</v>
      </c>
      <c r="J145" s="130">
        <f t="shared" si="69"/>
        <v>106047</v>
      </c>
      <c r="K145" s="130">
        <f t="shared" si="69"/>
        <v>108169</v>
      </c>
    </row>
    <row r="147" spans="1:15" x14ac:dyDescent="0.25">
      <c r="A147" s="127" t="s">
        <v>49</v>
      </c>
      <c r="B147" s="131" t="s">
        <v>279</v>
      </c>
      <c r="C147" s="141"/>
      <c r="D147" s="141"/>
      <c r="E147" s="141"/>
    </row>
    <row r="148" spans="1:15" x14ac:dyDescent="0.25">
      <c r="A148" s="127" t="s">
        <v>258</v>
      </c>
      <c r="B148" s="245">
        <v>1</v>
      </c>
      <c r="C148" s="245">
        <v>2</v>
      </c>
      <c r="D148" s="245">
        <v>3</v>
      </c>
      <c r="E148" s="245">
        <v>4</v>
      </c>
      <c r="F148" s="245">
        <v>5</v>
      </c>
      <c r="G148" s="245">
        <v>6</v>
      </c>
      <c r="H148" s="245">
        <v>7</v>
      </c>
      <c r="I148" s="245">
        <v>8</v>
      </c>
      <c r="J148" s="245">
        <v>9</v>
      </c>
      <c r="K148" s="245">
        <v>10</v>
      </c>
      <c r="L148" s="245">
        <v>11</v>
      </c>
    </row>
    <row r="149" spans="1:15" x14ac:dyDescent="0.25">
      <c r="A149" s="127" t="s">
        <v>268</v>
      </c>
      <c r="B149" s="1">
        <f>ROUND((+B141/1820),2)</f>
        <v>29.55</v>
      </c>
      <c r="C149" s="1">
        <f t="shared" ref="C149:K149" si="70">ROUND((+C141/1820),2)</f>
        <v>30.29</v>
      </c>
      <c r="D149" s="1">
        <f t="shared" si="70"/>
        <v>31.05</v>
      </c>
      <c r="E149" s="1">
        <f t="shared" si="70"/>
        <v>31.82</v>
      </c>
      <c r="F149" s="1">
        <f t="shared" si="70"/>
        <v>32.619999999999997</v>
      </c>
      <c r="G149" s="1">
        <f t="shared" si="70"/>
        <v>33.43</v>
      </c>
      <c r="H149" s="1">
        <f t="shared" si="70"/>
        <v>34.1</v>
      </c>
      <c r="I149" s="1">
        <f t="shared" si="70"/>
        <v>34.78</v>
      </c>
      <c r="J149" s="1">
        <f t="shared" si="70"/>
        <v>35.479999999999997</v>
      </c>
      <c r="K149" s="1">
        <f t="shared" si="70"/>
        <v>36.19</v>
      </c>
    </row>
    <row r="150" spans="1:15" x14ac:dyDescent="0.25">
      <c r="A150" s="127" t="s">
        <v>269</v>
      </c>
      <c r="B150" s="1">
        <f>ROUND((+B141/2080),2)</f>
        <v>25.86</v>
      </c>
      <c r="C150" s="1">
        <f t="shared" ref="C150:K150" si="71">ROUND((+C141/2080),2)</f>
        <v>26.5</v>
      </c>
      <c r="D150" s="1">
        <f t="shared" si="71"/>
        <v>27.16</v>
      </c>
      <c r="E150" s="1">
        <f t="shared" si="71"/>
        <v>27.84</v>
      </c>
      <c r="F150" s="1">
        <f t="shared" si="71"/>
        <v>28.54</v>
      </c>
      <c r="G150" s="1">
        <f t="shared" si="71"/>
        <v>29.25</v>
      </c>
      <c r="H150" s="1">
        <f t="shared" si="71"/>
        <v>29.84</v>
      </c>
      <c r="I150" s="1">
        <f t="shared" si="71"/>
        <v>30.44</v>
      </c>
      <c r="J150" s="1">
        <f t="shared" si="71"/>
        <v>31.04</v>
      </c>
      <c r="K150" s="1">
        <f t="shared" si="71"/>
        <v>31.66</v>
      </c>
    </row>
    <row r="151" spans="1:15" x14ac:dyDescent="0.25">
      <c r="A151" s="127" t="s">
        <v>270</v>
      </c>
      <c r="B151" s="1">
        <f>ROUND((+B141/2080),2)</f>
        <v>25.86</v>
      </c>
      <c r="C151" s="1">
        <f t="shared" ref="C151:K151" si="72">ROUND((+C141/2080),2)</f>
        <v>26.5</v>
      </c>
      <c r="D151" s="1">
        <f t="shared" si="72"/>
        <v>27.16</v>
      </c>
      <c r="E151" s="1">
        <f t="shared" si="72"/>
        <v>27.84</v>
      </c>
      <c r="F151" s="1">
        <f t="shared" si="72"/>
        <v>28.54</v>
      </c>
      <c r="G151" s="1">
        <f t="shared" si="72"/>
        <v>29.25</v>
      </c>
      <c r="H151" s="1">
        <f t="shared" si="72"/>
        <v>29.84</v>
      </c>
      <c r="I151" s="1">
        <f t="shared" si="72"/>
        <v>30.44</v>
      </c>
      <c r="J151" s="1">
        <f t="shared" si="72"/>
        <v>31.04</v>
      </c>
      <c r="K151" s="1">
        <f t="shared" si="72"/>
        <v>31.66</v>
      </c>
    </row>
    <row r="152" spans="1:15" x14ac:dyDescent="0.25">
      <c r="A152" s="77" t="s">
        <v>271</v>
      </c>
      <c r="G152" s="46">
        <f>ROUND(((+G142*1.085)/52/37.69),2)</f>
        <v>35.799999999999997</v>
      </c>
      <c r="H152" s="46">
        <f>ROUND(((+H142*1.085)/52/37.69),2)</f>
        <v>36.51</v>
      </c>
      <c r="I152" s="46">
        <f>ROUND(((+I142*1.085)/52/37.69),2)</f>
        <v>37.24</v>
      </c>
      <c r="J152" s="46">
        <f>ROUND(((+J142*1.085)/52/37.69),2)</f>
        <v>37.99</v>
      </c>
      <c r="K152" s="46">
        <f>ROUND(((+K142*1.085)/52/37.69),2)</f>
        <v>38.75</v>
      </c>
    </row>
    <row r="154" spans="1:15" x14ac:dyDescent="0.25">
      <c r="A154" s="129" t="s">
        <v>281</v>
      </c>
    </row>
    <row r="155" spans="1:15" x14ac:dyDescent="0.25">
      <c r="B155" s="101" t="s">
        <v>256</v>
      </c>
      <c r="M155" s="101" t="s">
        <v>282</v>
      </c>
    </row>
    <row r="156" spans="1:15" x14ac:dyDescent="0.25">
      <c r="A156" s="127" t="s">
        <v>258</v>
      </c>
      <c r="B156" s="245">
        <v>1</v>
      </c>
      <c r="C156" s="245">
        <v>2</v>
      </c>
      <c r="D156" s="245">
        <v>3</v>
      </c>
      <c r="E156" s="245">
        <v>4</v>
      </c>
      <c r="F156" s="245">
        <v>5</v>
      </c>
      <c r="G156" s="245">
        <v>6</v>
      </c>
      <c r="H156" s="245">
        <v>7</v>
      </c>
      <c r="I156" s="245">
        <v>8</v>
      </c>
      <c r="J156" s="245">
        <v>9</v>
      </c>
      <c r="K156" s="245">
        <v>10</v>
      </c>
      <c r="L156" s="245">
        <v>11</v>
      </c>
      <c r="M156" s="101"/>
      <c r="N156" s="101"/>
    </row>
    <row r="157" spans="1:15" x14ac:dyDescent="0.25">
      <c r="A157" s="127" t="s">
        <v>252</v>
      </c>
      <c r="B157" s="107">
        <f>ROUND((+B177*1.01),2)</f>
        <v>14.03</v>
      </c>
      <c r="C157" s="107">
        <f t="shared" ref="C157:K157" si="73">ROUND((+C177*1.01),2)</f>
        <v>14.37</v>
      </c>
      <c r="D157" s="107">
        <f t="shared" si="73"/>
        <v>14.73</v>
      </c>
      <c r="E157" s="107">
        <f t="shared" si="73"/>
        <v>15.11</v>
      </c>
      <c r="F157" s="107">
        <f t="shared" si="73"/>
        <v>15.47</v>
      </c>
      <c r="G157" s="107">
        <f t="shared" si="73"/>
        <v>15.87</v>
      </c>
      <c r="H157" s="107">
        <f t="shared" si="73"/>
        <v>16.23</v>
      </c>
      <c r="I157" s="107">
        <f t="shared" si="73"/>
        <v>16.579999999999998</v>
      </c>
      <c r="J157" s="107">
        <f t="shared" si="73"/>
        <v>16.920000000000002</v>
      </c>
      <c r="K157" s="107">
        <f t="shared" si="73"/>
        <v>17.260000000000002</v>
      </c>
      <c r="M157" s="101"/>
    </row>
    <row r="158" spans="1:15" x14ac:dyDescent="0.25">
      <c r="A158" s="127" t="s">
        <v>253</v>
      </c>
      <c r="B158" s="107">
        <f t="shared" ref="B158:K161" si="74">ROUND((+B178*1.01),2)</f>
        <v>16.53</v>
      </c>
      <c r="C158" s="107">
        <f t="shared" si="74"/>
        <v>16.95</v>
      </c>
      <c r="D158" s="107">
        <f t="shared" si="74"/>
        <v>17.37</v>
      </c>
      <c r="E158" s="107">
        <f t="shared" si="74"/>
        <v>17.8</v>
      </c>
      <c r="F158" s="107">
        <f t="shared" si="74"/>
        <v>18.25</v>
      </c>
      <c r="G158" s="107">
        <f t="shared" si="74"/>
        <v>18.71</v>
      </c>
      <c r="H158" s="107">
        <f t="shared" si="74"/>
        <v>19.18</v>
      </c>
      <c r="I158" s="107">
        <f t="shared" si="74"/>
        <v>19.55</v>
      </c>
      <c r="J158" s="107">
        <f t="shared" si="74"/>
        <v>19.95</v>
      </c>
      <c r="K158" s="107">
        <f t="shared" si="74"/>
        <v>20.350000000000001</v>
      </c>
      <c r="M158" s="101"/>
      <c r="O158" s="101"/>
    </row>
    <row r="159" spans="1:15" x14ac:dyDescent="0.25">
      <c r="A159" s="127" t="s">
        <v>254</v>
      </c>
      <c r="B159" s="107">
        <f t="shared" si="74"/>
        <v>17.79</v>
      </c>
      <c r="C159" s="107">
        <f t="shared" si="74"/>
        <v>18.239999999999998</v>
      </c>
      <c r="D159" s="107">
        <f t="shared" si="74"/>
        <v>18.690000000000001</v>
      </c>
      <c r="E159" s="107">
        <f t="shared" si="74"/>
        <v>19.16</v>
      </c>
      <c r="F159" s="107">
        <f t="shared" si="74"/>
        <v>19.63</v>
      </c>
      <c r="G159" s="107">
        <f t="shared" si="74"/>
        <v>20.14</v>
      </c>
      <c r="H159" s="107">
        <f t="shared" si="74"/>
        <v>20.62</v>
      </c>
      <c r="I159" s="107">
        <f t="shared" si="74"/>
        <v>21.04</v>
      </c>
      <c r="J159" s="107">
        <f t="shared" si="74"/>
        <v>21.46</v>
      </c>
      <c r="K159" s="107">
        <f t="shared" si="74"/>
        <v>21.89</v>
      </c>
      <c r="M159" s="101"/>
    </row>
    <row r="160" spans="1:15" x14ac:dyDescent="0.25">
      <c r="A160" s="127" t="s">
        <v>255</v>
      </c>
      <c r="B160" s="107">
        <f t="shared" si="74"/>
        <v>19.39</v>
      </c>
      <c r="C160" s="107">
        <f t="shared" si="74"/>
        <v>19.87</v>
      </c>
      <c r="D160" s="107">
        <f t="shared" si="74"/>
        <v>20.37</v>
      </c>
      <c r="E160" s="107">
        <f t="shared" si="74"/>
        <v>20.88</v>
      </c>
      <c r="F160" s="107">
        <f t="shared" si="74"/>
        <v>21.4</v>
      </c>
      <c r="G160" s="107">
        <f t="shared" si="74"/>
        <v>21.94</v>
      </c>
      <c r="H160" s="107">
        <f t="shared" si="74"/>
        <v>22.49</v>
      </c>
      <c r="I160" s="107">
        <f t="shared" si="74"/>
        <v>22.93</v>
      </c>
      <c r="J160" s="107">
        <f t="shared" si="74"/>
        <v>23.4</v>
      </c>
      <c r="K160" s="107">
        <f t="shared" si="74"/>
        <v>23.86</v>
      </c>
    </row>
    <row r="161" spans="1:12" x14ac:dyDescent="0.25">
      <c r="A161" s="127" t="s">
        <v>259</v>
      </c>
      <c r="B161" s="107">
        <f t="shared" si="74"/>
        <v>20.93</v>
      </c>
      <c r="C161" s="107">
        <f t="shared" si="74"/>
        <v>21.45</v>
      </c>
      <c r="D161" s="107">
        <f t="shared" si="74"/>
        <v>21.99</v>
      </c>
      <c r="E161" s="107">
        <f t="shared" si="74"/>
        <v>22.54</v>
      </c>
      <c r="F161" s="107">
        <f t="shared" si="74"/>
        <v>23.1</v>
      </c>
      <c r="G161" s="107">
        <f t="shared" si="74"/>
        <v>23.67</v>
      </c>
      <c r="H161" s="107">
        <f t="shared" si="74"/>
        <v>24.28</v>
      </c>
      <c r="I161" s="107">
        <f t="shared" si="74"/>
        <v>24.76</v>
      </c>
      <c r="J161" s="107">
        <f t="shared" si="74"/>
        <v>25.26</v>
      </c>
      <c r="K161" s="107">
        <f t="shared" si="74"/>
        <v>25.76</v>
      </c>
    </row>
    <row r="162" spans="1:12" x14ac:dyDescent="0.25">
      <c r="A162" s="127" t="s">
        <v>260</v>
      </c>
      <c r="B162" s="130">
        <f>ROUND((+B182*1.01),0)</f>
        <v>52986</v>
      </c>
      <c r="C162" s="130">
        <f t="shared" ref="C162:K162" si="75">ROUND((+C182*1.01),0)</f>
        <v>54311</v>
      </c>
      <c r="D162" s="130">
        <f t="shared" si="75"/>
        <v>55668</v>
      </c>
      <c r="E162" s="130">
        <f t="shared" si="75"/>
        <v>57060</v>
      </c>
      <c r="F162" s="130">
        <f t="shared" si="75"/>
        <v>58487</v>
      </c>
      <c r="G162" s="130">
        <f t="shared" si="75"/>
        <v>59950</v>
      </c>
      <c r="H162" s="130">
        <f t="shared" si="75"/>
        <v>61148</v>
      </c>
      <c r="I162" s="130">
        <f t="shared" si="75"/>
        <v>62371</v>
      </c>
      <c r="J162" s="130">
        <f t="shared" si="75"/>
        <v>63618</v>
      </c>
      <c r="K162" s="130">
        <f t="shared" si="75"/>
        <v>64890</v>
      </c>
    </row>
    <row r="163" spans="1:12" x14ac:dyDescent="0.25">
      <c r="A163" s="127" t="s">
        <v>261</v>
      </c>
      <c r="B163" s="130">
        <f t="shared" ref="B163:K166" si="76">ROUND((+B183*1.01),0)</f>
        <v>56303</v>
      </c>
      <c r="C163" s="130">
        <f t="shared" si="76"/>
        <v>57711</v>
      </c>
      <c r="D163" s="130">
        <f t="shared" si="76"/>
        <v>59155</v>
      </c>
      <c r="E163" s="130">
        <f t="shared" si="76"/>
        <v>60633</v>
      </c>
      <c r="F163" s="130">
        <f t="shared" si="76"/>
        <v>62148</v>
      </c>
      <c r="G163" s="130">
        <f t="shared" si="76"/>
        <v>63702</v>
      </c>
      <c r="H163" s="130">
        <f t="shared" si="76"/>
        <v>64977</v>
      </c>
      <c r="I163" s="130">
        <f t="shared" si="76"/>
        <v>66276</v>
      </c>
      <c r="J163" s="130">
        <f t="shared" si="76"/>
        <v>67602</v>
      </c>
      <c r="K163" s="130">
        <f t="shared" si="76"/>
        <v>68954</v>
      </c>
    </row>
    <row r="164" spans="1:12" x14ac:dyDescent="0.25">
      <c r="A164" s="127" t="s">
        <v>263</v>
      </c>
      <c r="B164" s="130">
        <f t="shared" si="76"/>
        <v>71567</v>
      </c>
      <c r="C164" s="130">
        <f t="shared" si="76"/>
        <v>73355</v>
      </c>
      <c r="D164" s="130">
        <f t="shared" si="76"/>
        <v>75188</v>
      </c>
      <c r="E164" s="130">
        <f t="shared" si="76"/>
        <v>77069</v>
      </c>
      <c r="F164" s="130">
        <f t="shared" si="76"/>
        <v>78995</v>
      </c>
      <c r="G164" s="130">
        <f t="shared" si="76"/>
        <v>80971</v>
      </c>
      <c r="H164" s="130">
        <f t="shared" si="76"/>
        <v>82995</v>
      </c>
      <c r="I164" s="130">
        <f t="shared" si="76"/>
        <v>84655</v>
      </c>
      <c r="J164" s="130">
        <f t="shared" si="76"/>
        <v>86347</v>
      </c>
      <c r="K164" s="130">
        <f t="shared" si="76"/>
        <v>88074</v>
      </c>
    </row>
    <row r="165" spans="1:12" x14ac:dyDescent="0.25">
      <c r="A165" s="127" t="s">
        <v>264</v>
      </c>
      <c r="B165" s="130">
        <f t="shared" si="76"/>
        <v>78722</v>
      </c>
      <c r="C165" s="130">
        <f t="shared" si="76"/>
        <v>80690</v>
      </c>
      <c r="D165" s="130">
        <f t="shared" si="76"/>
        <v>82708</v>
      </c>
      <c r="E165" s="130">
        <f t="shared" si="76"/>
        <v>84775</v>
      </c>
      <c r="F165" s="130">
        <f t="shared" si="76"/>
        <v>86894</v>
      </c>
      <c r="G165" s="130">
        <f t="shared" si="76"/>
        <v>89066</v>
      </c>
      <c r="H165" s="130">
        <f t="shared" si="76"/>
        <v>91293</v>
      </c>
      <c r="I165" s="130">
        <f t="shared" si="76"/>
        <v>93120</v>
      </c>
      <c r="J165" s="130">
        <f t="shared" si="76"/>
        <v>94981</v>
      </c>
      <c r="K165" s="130">
        <f t="shared" si="76"/>
        <v>96881</v>
      </c>
    </row>
    <row r="166" spans="1:12" x14ac:dyDescent="0.25">
      <c r="A166" s="127" t="s">
        <v>265</v>
      </c>
      <c r="B166" s="130">
        <f t="shared" si="76"/>
        <v>86594</v>
      </c>
      <c r="C166" s="130">
        <f t="shared" si="76"/>
        <v>88759</v>
      </c>
      <c r="D166" s="130">
        <f t="shared" si="76"/>
        <v>90979</v>
      </c>
      <c r="E166" s="130">
        <f t="shared" si="76"/>
        <v>93253</v>
      </c>
      <c r="F166" s="130">
        <f t="shared" si="76"/>
        <v>95584</v>
      </c>
      <c r="G166" s="130">
        <f t="shared" si="76"/>
        <v>97974</v>
      </c>
      <c r="H166" s="130">
        <f t="shared" si="76"/>
        <v>100423</v>
      </c>
      <c r="I166" s="130">
        <f t="shared" si="76"/>
        <v>102431</v>
      </c>
      <c r="J166" s="130">
        <f t="shared" si="76"/>
        <v>104480</v>
      </c>
      <c r="K166" s="130">
        <f t="shared" si="76"/>
        <v>106570</v>
      </c>
    </row>
    <row r="168" spans="1:12" x14ac:dyDescent="0.25">
      <c r="A168" s="127" t="s">
        <v>49</v>
      </c>
      <c r="B168" s="131" t="s">
        <v>279</v>
      </c>
      <c r="C168" s="141"/>
      <c r="D168" s="141"/>
      <c r="E168" s="141"/>
    </row>
    <row r="169" spans="1:12" x14ac:dyDescent="0.25">
      <c r="A169" s="127" t="s">
        <v>258</v>
      </c>
      <c r="B169" s="245">
        <v>1</v>
      </c>
      <c r="C169" s="245">
        <v>2</v>
      </c>
      <c r="D169" s="245">
        <v>3</v>
      </c>
      <c r="E169" s="245">
        <v>4</v>
      </c>
      <c r="F169" s="245">
        <v>5</v>
      </c>
      <c r="G169" s="245">
        <v>6</v>
      </c>
      <c r="H169" s="245">
        <v>7</v>
      </c>
      <c r="I169" s="245">
        <v>8</v>
      </c>
      <c r="J169" s="245">
        <v>9</v>
      </c>
      <c r="K169" s="245">
        <v>10</v>
      </c>
      <c r="L169" s="245">
        <v>11</v>
      </c>
    </row>
    <row r="170" spans="1:12" x14ac:dyDescent="0.25">
      <c r="A170" s="127" t="s">
        <v>268</v>
      </c>
      <c r="B170" s="1">
        <f>ROUND((+B162/1827),2)</f>
        <v>29</v>
      </c>
      <c r="C170" s="1">
        <f t="shared" ref="C170:K170" si="77">ROUND((+C162/1827),2)</f>
        <v>29.73</v>
      </c>
      <c r="D170" s="1">
        <f t="shared" si="77"/>
        <v>30.47</v>
      </c>
      <c r="E170" s="1">
        <f t="shared" si="77"/>
        <v>31.23</v>
      </c>
      <c r="F170" s="1">
        <f t="shared" si="77"/>
        <v>32.01</v>
      </c>
      <c r="G170" s="1">
        <f t="shared" si="77"/>
        <v>32.81</v>
      </c>
      <c r="H170" s="1">
        <f t="shared" si="77"/>
        <v>33.47</v>
      </c>
      <c r="I170" s="1">
        <f t="shared" si="77"/>
        <v>34.14</v>
      </c>
      <c r="J170" s="1">
        <f t="shared" si="77"/>
        <v>34.82</v>
      </c>
      <c r="K170" s="1">
        <f t="shared" si="77"/>
        <v>35.520000000000003</v>
      </c>
    </row>
    <row r="171" spans="1:12" x14ac:dyDescent="0.25">
      <c r="A171" s="127" t="s">
        <v>3</v>
      </c>
      <c r="B171" s="1">
        <f>ROUND((+B162/2080),2)</f>
        <v>25.47</v>
      </c>
      <c r="C171" s="1">
        <f t="shared" ref="C171:K171" si="78">ROUND((+C162/2080),2)</f>
        <v>26.11</v>
      </c>
      <c r="D171" s="1">
        <f t="shared" si="78"/>
        <v>26.76</v>
      </c>
      <c r="E171" s="1">
        <f t="shared" si="78"/>
        <v>27.43</v>
      </c>
      <c r="F171" s="1">
        <f t="shared" si="78"/>
        <v>28.12</v>
      </c>
      <c r="G171" s="1">
        <f t="shared" si="78"/>
        <v>28.82</v>
      </c>
      <c r="H171" s="1">
        <f t="shared" si="78"/>
        <v>29.4</v>
      </c>
      <c r="I171" s="1">
        <f t="shared" si="78"/>
        <v>29.99</v>
      </c>
      <c r="J171" s="1">
        <f t="shared" si="78"/>
        <v>30.59</v>
      </c>
      <c r="K171" s="1">
        <f t="shared" si="78"/>
        <v>31.2</v>
      </c>
    </row>
    <row r="172" spans="1:12" x14ac:dyDescent="0.25">
      <c r="A172" s="77" t="s">
        <v>271</v>
      </c>
      <c r="G172" s="46">
        <f>ROUND(((+G163*1.085)/52.2/37.69),2)</f>
        <v>35.130000000000003</v>
      </c>
      <c r="H172" s="46">
        <f>ROUND(((+H163*1.085)/52.2/37.69),2)</f>
        <v>35.83</v>
      </c>
      <c r="I172" s="46">
        <f>ROUND(((+I163*1.085)/52.2/37.69),2)</f>
        <v>36.549999999999997</v>
      </c>
      <c r="J172" s="46">
        <f>ROUND(((+J163*1.085)/52.2/37.69),2)</f>
        <v>37.28</v>
      </c>
      <c r="K172" s="46">
        <f>ROUND(((+K163*1.085)/52.2/37.69),2)</f>
        <v>38.03</v>
      </c>
    </row>
    <row r="174" spans="1:12" x14ac:dyDescent="0.25">
      <c r="A174" s="129" t="s">
        <v>283</v>
      </c>
    </row>
    <row r="175" spans="1:12" x14ac:dyDescent="0.25">
      <c r="B175" s="101" t="s">
        <v>256</v>
      </c>
    </row>
    <row r="176" spans="1:12" x14ac:dyDescent="0.25">
      <c r="A176" s="127" t="s">
        <v>258</v>
      </c>
      <c r="B176" s="245">
        <v>1</v>
      </c>
      <c r="C176" s="245">
        <v>2</v>
      </c>
      <c r="D176" s="245">
        <v>3</v>
      </c>
      <c r="E176" s="245">
        <v>4</v>
      </c>
      <c r="F176" s="245">
        <v>5</v>
      </c>
      <c r="G176" s="245">
        <v>6</v>
      </c>
      <c r="H176" s="245">
        <v>7</v>
      </c>
      <c r="I176" s="245">
        <v>8</v>
      </c>
      <c r="J176" s="245">
        <v>9</v>
      </c>
      <c r="K176" s="245">
        <v>10</v>
      </c>
      <c r="L176" s="245">
        <v>11</v>
      </c>
    </row>
    <row r="177" spans="1:12" x14ac:dyDescent="0.25">
      <c r="A177" s="127" t="s">
        <v>252</v>
      </c>
      <c r="B177" s="107">
        <f>ROUND((+B196*1.01),2)</f>
        <v>13.89</v>
      </c>
      <c r="C177" s="107">
        <f t="shared" ref="C177:K177" si="79">ROUND((+C196*1.01),2)</f>
        <v>14.23</v>
      </c>
      <c r="D177" s="107">
        <f t="shared" si="79"/>
        <v>14.58</v>
      </c>
      <c r="E177" s="107">
        <f t="shared" si="79"/>
        <v>14.96</v>
      </c>
      <c r="F177" s="107">
        <f t="shared" si="79"/>
        <v>15.32</v>
      </c>
      <c r="G177" s="107">
        <f t="shared" si="79"/>
        <v>15.71</v>
      </c>
      <c r="H177" s="107">
        <f t="shared" si="79"/>
        <v>16.07</v>
      </c>
      <c r="I177" s="107">
        <f t="shared" si="79"/>
        <v>16.420000000000002</v>
      </c>
      <c r="J177" s="107">
        <f t="shared" si="79"/>
        <v>16.75</v>
      </c>
      <c r="K177" s="107">
        <f t="shared" si="79"/>
        <v>17.09</v>
      </c>
    </row>
    <row r="178" spans="1:12" x14ac:dyDescent="0.25">
      <c r="A178" s="127" t="s">
        <v>253</v>
      </c>
      <c r="B178" s="107">
        <f t="shared" ref="B178:K181" si="80">ROUND((+B197*1.01),2)</f>
        <v>16.37</v>
      </c>
      <c r="C178" s="107">
        <f t="shared" si="80"/>
        <v>16.78</v>
      </c>
      <c r="D178" s="107">
        <f t="shared" si="80"/>
        <v>17.2</v>
      </c>
      <c r="E178" s="107">
        <f t="shared" si="80"/>
        <v>17.62</v>
      </c>
      <c r="F178" s="107">
        <f t="shared" si="80"/>
        <v>18.07</v>
      </c>
      <c r="G178" s="107">
        <f t="shared" si="80"/>
        <v>18.52</v>
      </c>
      <c r="H178" s="107">
        <f t="shared" si="80"/>
        <v>18.989999999999998</v>
      </c>
      <c r="I178" s="107">
        <f t="shared" si="80"/>
        <v>19.36</v>
      </c>
      <c r="J178" s="107">
        <f t="shared" si="80"/>
        <v>19.75</v>
      </c>
      <c r="K178" s="107">
        <f t="shared" si="80"/>
        <v>20.149999999999999</v>
      </c>
    </row>
    <row r="179" spans="1:12" x14ac:dyDescent="0.25">
      <c r="A179" s="127" t="s">
        <v>254</v>
      </c>
      <c r="B179" s="107">
        <f t="shared" si="80"/>
        <v>17.61</v>
      </c>
      <c r="C179" s="107">
        <f t="shared" si="80"/>
        <v>18.059999999999999</v>
      </c>
      <c r="D179" s="107">
        <f t="shared" si="80"/>
        <v>18.5</v>
      </c>
      <c r="E179" s="107">
        <f t="shared" si="80"/>
        <v>18.97</v>
      </c>
      <c r="F179" s="107">
        <f t="shared" si="80"/>
        <v>19.440000000000001</v>
      </c>
      <c r="G179" s="107">
        <f t="shared" si="80"/>
        <v>19.940000000000001</v>
      </c>
      <c r="H179" s="107">
        <f t="shared" si="80"/>
        <v>20.420000000000002</v>
      </c>
      <c r="I179" s="107">
        <f t="shared" si="80"/>
        <v>20.83</v>
      </c>
      <c r="J179" s="107">
        <f t="shared" si="80"/>
        <v>21.25</v>
      </c>
      <c r="K179" s="107">
        <f t="shared" si="80"/>
        <v>21.67</v>
      </c>
    </row>
    <row r="180" spans="1:12" x14ac:dyDescent="0.25">
      <c r="A180" s="127" t="s">
        <v>255</v>
      </c>
      <c r="B180" s="107">
        <f t="shared" si="80"/>
        <v>19.2</v>
      </c>
      <c r="C180" s="107">
        <f t="shared" si="80"/>
        <v>19.670000000000002</v>
      </c>
      <c r="D180" s="107">
        <f t="shared" si="80"/>
        <v>20.170000000000002</v>
      </c>
      <c r="E180" s="107">
        <f t="shared" si="80"/>
        <v>20.67</v>
      </c>
      <c r="F180" s="107">
        <f t="shared" si="80"/>
        <v>21.19</v>
      </c>
      <c r="G180" s="107">
        <f t="shared" si="80"/>
        <v>21.72</v>
      </c>
      <c r="H180" s="107">
        <f t="shared" si="80"/>
        <v>22.27</v>
      </c>
      <c r="I180" s="107">
        <f t="shared" si="80"/>
        <v>22.7</v>
      </c>
      <c r="J180" s="107">
        <f t="shared" si="80"/>
        <v>23.17</v>
      </c>
      <c r="K180" s="107">
        <f t="shared" si="80"/>
        <v>23.62</v>
      </c>
    </row>
    <row r="181" spans="1:12" x14ac:dyDescent="0.25">
      <c r="A181" s="127" t="s">
        <v>259</v>
      </c>
      <c r="B181" s="107">
        <f t="shared" si="80"/>
        <v>20.72</v>
      </c>
      <c r="C181" s="107">
        <f t="shared" si="80"/>
        <v>21.24</v>
      </c>
      <c r="D181" s="107">
        <f t="shared" si="80"/>
        <v>21.77</v>
      </c>
      <c r="E181" s="107">
        <f t="shared" si="80"/>
        <v>22.32</v>
      </c>
      <c r="F181" s="107">
        <f t="shared" si="80"/>
        <v>22.87</v>
      </c>
      <c r="G181" s="107">
        <f t="shared" si="80"/>
        <v>23.44</v>
      </c>
      <c r="H181" s="107">
        <f t="shared" si="80"/>
        <v>24.04</v>
      </c>
      <c r="I181" s="107">
        <f t="shared" si="80"/>
        <v>24.51</v>
      </c>
      <c r="J181" s="107">
        <f t="shared" si="80"/>
        <v>25.01</v>
      </c>
      <c r="K181" s="107">
        <f t="shared" si="80"/>
        <v>25.5</v>
      </c>
    </row>
    <row r="182" spans="1:12" x14ac:dyDescent="0.25">
      <c r="A182" s="127" t="s">
        <v>260</v>
      </c>
      <c r="B182" s="108">
        <f>ROUND((+B201*1.01),0)</f>
        <v>52461</v>
      </c>
      <c r="C182" s="108">
        <f t="shared" ref="C182:K182" si="81">ROUND((+C201*1.01),0)</f>
        <v>53773</v>
      </c>
      <c r="D182" s="108">
        <f t="shared" si="81"/>
        <v>55117</v>
      </c>
      <c r="E182" s="108">
        <f t="shared" si="81"/>
        <v>56495</v>
      </c>
      <c r="F182" s="108">
        <f t="shared" si="81"/>
        <v>57908</v>
      </c>
      <c r="G182" s="108">
        <f t="shared" si="81"/>
        <v>59356</v>
      </c>
      <c r="H182" s="108">
        <f t="shared" si="81"/>
        <v>60543</v>
      </c>
      <c r="I182" s="108">
        <f t="shared" si="81"/>
        <v>61753</v>
      </c>
      <c r="J182" s="108">
        <f t="shared" si="81"/>
        <v>62988</v>
      </c>
      <c r="K182" s="108">
        <f t="shared" si="81"/>
        <v>64248</v>
      </c>
    </row>
    <row r="183" spans="1:12" x14ac:dyDescent="0.25">
      <c r="A183" s="127" t="s">
        <v>261</v>
      </c>
      <c r="B183" s="108">
        <f t="shared" ref="B183:K186" si="82">ROUND((+B202*1.01),0)</f>
        <v>55746</v>
      </c>
      <c r="C183" s="108">
        <f t="shared" si="82"/>
        <v>57140</v>
      </c>
      <c r="D183" s="108">
        <f t="shared" si="82"/>
        <v>58569</v>
      </c>
      <c r="E183" s="108">
        <f t="shared" si="82"/>
        <v>60033</v>
      </c>
      <c r="F183" s="108">
        <f t="shared" si="82"/>
        <v>61533</v>
      </c>
      <c r="G183" s="108">
        <f t="shared" si="82"/>
        <v>63071</v>
      </c>
      <c r="H183" s="108">
        <f t="shared" si="82"/>
        <v>64334</v>
      </c>
      <c r="I183" s="108">
        <f t="shared" si="82"/>
        <v>65620</v>
      </c>
      <c r="J183" s="108">
        <f t="shared" si="82"/>
        <v>66933</v>
      </c>
      <c r="K183" s="108">
        <f t="shared" si="82"/>
        <v>68271</v>
      </c>
    </row>
    <row r="184" spans="1:12" x14ac:dyDescent="0.25">
      <c r="A184" s="127" t="s">
        <v>263</v>
      </c>
      <c r="B184" s="108">
        <f t="shared" si="82"/>
        <v>70858</v>
      </c>
      <c r="C184" s="108">
        <f t="shared" si="82"/>
        <v>72629</v>
      </c>
      <c r="D184" s="108">
        <f t="shared" si="82"/>
        <v>74444</v>
      </c>
      <c r="E184" s="108">
        <f t="shared" si="82"/>
        <v>76306</v>
      </c>
      <c r="F184" s="108">
        <f t="shared" si="82"/>
        <v>78213</v>
      </c>
      <c r="G184" s="108">
        <f t="shared" si="82"/>
        <v>80169</v>
      </c>
      <c r="H184" s="108">
        <f t="shared" si="82"/>
        <v>82173</v>
      </c>
      <c r="I184" s="108">
        <f t="shared" si="82"/>
        <v>83817</v>
      </c>
      <c r="J184" s="108">
        <f t="shared" si="82"/>
        <v>85492</v>
      </c>
      <c r="K184" s="108">
        <f t="shared" si="82"/>
        <v>87202</v>
      </c>
    </row>
    <row r="185" spans="1:12" x14ac:dyDescent="0.25">
      <c r="A185" s="127" t="s">
        <v>264</v>
      </c>
      <c r="B185" s="108">
        <f t="shared" si="82"/>
        <v>77943</v>
      </c>
      <c r="C185" s="108">
        <f t="shared" si="82"/>
        <v>79891</v>
      </c>
      <c r="D185" s="108">
        <f t="shared" si="82"/>
        <v>81889</v>
      </c>
      <c r="E185" s="108">
        <f t="shared" si="82"/>
        <v>83936</v>
      </c>
      <c r="F185" s="108">
        <f t="shared" si="82"/>
        <v>86034</v>
      </c>
      <c r="G185" s="108">
        <f t="shared" si="82"/>
        <v>88184</v>
      </c>
      <c r="H185" s="108">
        <f t="shared" si="82"/>
        <v>90389</v>
      </c>
      <c r="I185" s="108">
        <f t="shared" si="82"/>
        <v>92198</v>
      </c>
      <c r="J185" s="108">
        <f t="shared" si="82"/>
        <v>94041</v>
      </c>
      <c r="K185" s="108">
        <f t="shared" si="82"/>
        <v>95922</v>
      </c>
    </row>
    <row r="186" spans="1:12" x14ac:dyDescent="0.25">
      <c r="A186" s="127" t="s">
        <v>265</v>
      </c>
      <c r="B186" s="108">
        <f t="shared" si="82"/>
        <v>85737</v>
      </c>
      <c r="C186" s="108">
        <f t="shared" si="82"/>
        <v>87880</v>
      </c>
      <c r="D186" s="108">
        <f t="shared" si="82"/>
        <v>90078</v>
      </c>
      <c r="E186" s="108">
        <f t="shared" si="82"/>
        <v>92330</v>
      </c>
      <c r="F186" s="108">
        <f t="shared" si="82"/>
        <v>94638</v>
      </c>
      <c r="G186" s="108">
        <f t="shared" si="82"/>
        <v>97004</v>
      </c>
      <c r="H186" s="108">
        <f t="shared" si="82"/>
        <v>99429</v>
      </c>
      <c r="I186" s="108">
        <f t="shared" si="82"/>
        <v>101417</v>
      </c>
      <c r="J186" s="108">
        <f t="shared" si="82"/>
        <v>103446</v>
      </c>
      <c r="K186" s="108">
        <f t="shared" si="82"/>
        <v>105515</v>
      </c>
    </row>
    <row r="188" spans="1:12" x14ac:dyDescent="0.25">
      <c r="A188" s="127" t="s">
        <v>49</v>
      </c>
      <c r="B188" s="101" t="s">
        <v>284</v>
      </c>
    </row>
    <row r="189" spans="1:12" x14ac:dyDescent="0.25">
      <c r="A189" s="127" t="s">
        <v>258</v>
      </c>
      <c r="B189" s="245">
        <v>1</v>
      </c>
      <c r="C189" s="245">
        <v>2</v>
      </c>
      <c r="D189" s="245">
        <v>3</v>
      </c>
      <c r="E189" s="245">
        <v>4</v>
      </c>
      <c r="F189" s="245">
        <v>5</v>
      </c>
      <c r="G189" s="245">
        <v>6</v>
      </c>
      <c r="H189" s="245">
        <v>7</v>
      </c>
      <c r="I189" s="245">
        <v>8</v>
      </c>
      <c r="J189" s="245">
        <v>9</v>
      </c>
      <c r="K189" s="245">
        <v>10</v>
      </c>
      <c r="L189" s="245">
        <v>11</v>
      </c>
    </row>
    <row r="190" spans="1:12" x14ac:dyDescent="0.25">
      <c r="A190" s="127" t="s">
        <v>260</v>
      </c>
      <c r="B190" s="1">
        <f>ROUND((+B182/1834),2)</f>
        <v>28.6</v>
      </c>
      <c r="C190" s="1">
        <f t="shared" ref="C190:K190" si="83">ROUND((+C182/1827),2)</f>
        <v>29.43</v>
      </c>
      <c r="D190" s="1">
        <f t="shared" si="83"/>
        <v>30.17</v>
      </c>
      <c r="E190" s="1">
        <f t="shared" si="83"/>
        <v>30.92</v>
      </c>
      <c r="F190" s="1">
        <f t="shared" si="83"/>
        <v>31.7</v>
      </c>
      <c r="G190" s="1">
        <f t="shared" si="83"/>
        <v>32.49</v>
      </c>
      <c r="H190" s="1">
        <f t="shared" si="83"/>
        <v>33.14</v>
      </c>
      <c r="I190" s="1">
        <f t="shared" si="83"/>
        <v>33.799999999999997</v>
      </c>
      <c r="J190" s="1">
        <f t="shared" si="83"/>
        <v>34.479999999999997</v>
      </c>
      <c r="K190" s="1">
        <f t="shared" si="83"/>
        <v>35.17</v>
      </c>
    </row>
    <row r="191" spans="1:12" x14ac:dyDescent="0.25">
      <c r="A191" s="127" t="s">
        <v>3</v>
      </c>
      <c r="B191" s="1">
        <f>ROUND((+B182/2100),2)</f>
        <v>24.98</v>
      </c>
      <c r="C191" s="1">
        <f t="shared" ref="C191:K191" si="84">ROUND((+C182/2100),2)</f>
        <v>25.61</v>
      </c>
      <c r="D191" s="1">
        <f t="shared" si="84"/>
        <v>26.25</v>
      </c>
      <c r="E191" s="1">
        <f t="shared" si="84"/>
        <v>26.9</v>
      </c>
      <c r="F191" s="1">
        <f t="shared" si="84"/>
        <v>27.58</v>
      </c>
      <c r="G191" s="1">
        <f t="shared" si="84"/>
        <v>28.26</v>
      </c>
      <c r="H191" s="1">
        <f t="shared" si="84"/>
        <v>28.83</v>
      </c>
      <c r="I191" s="1">
        <f t="shared" si="84"/>
        <v>29.41</v>
      </c>
      <c r="J191" s="1">
        <f t="shared" si="84"/>
        <v>29.99</v>
      </c>
      <c r="K191" s="1">
        <f t="shared" si="84"/>
        <v>30.59</v>
      </c>
    </row>
    <row r="192" spans="1:12" x14ac:dyDescent="0.25">
      <c r="A192" s="77" t="s">
        <v>271</v>
      </c>
      <c r="G192" s="46">
        <f>ROUND(((+G183*1.085)/52.2/37.69),2)</f>
        <v>34.78</v>
      </c>
      <c r="H192" s="46">
        <f>ROUND(((+H183*1.085)/52.2/37.69),2)</f>
        <v>35.479999999999997</v>
      </c>
      <c r="I192" s="46">
        <f>ROUND(((+I183*1.085)/52.2/37.69),2)</f>
        <v>36.19</v>
      </c>
      <c r="J192" s="46">
        <f>ROUND(((+J183*1.085)/52.2/37.69),2)</f>
        <v>36.909999999999997</v>
      </c>
      <c r="K192" s="46">
        <f>ROUND(((+K183*1.085)/52.2/37.69),2)</f>
        <v>37.65</v>
      </c>
    </row>
    <row r="193" spans="1:12" ht="27.75" customHeight="1" x14ac:dyDescent="0.25">
      <c r="A193" s="129" t="s">
        <v>285</v>
      </c>
    </row>
    <row r="194" spans="1:12" x14ac:dyDescent="0.25">
      <c r="B194" s="101" t="s">
        <v>256</v>
      </c>
    </row>
    <row r="195" spans="1:12" x14ac:dyDescent="0.25">
      <c r="A195" s="127" t="s">
        <v>258</v>
      </c>
      <c r="B195" s="245">
        <v>1</v>
      </c>
      <c r="C195" s="245">
        <v>2</v>
      </c>
      <c r="D195" s="245">
        <v>3</v>
      </c>
      <c r="E195" s="245">
        <v>4</v>
      </c>
      <c r="F195" s="245">
        <v>5</v>
      </c>
      <c r="G195" s="245">
        <v>6</v>
      </c>
      <c r="H195" s="245">
        <v>7</v>
      </c>
      <c r="I195" s="245">
        <v>8</v>
      </c>
      <c r="J195" s="245">
        <v>9</v>
      </c>
      <c r="K195" s="245">
        <v>10</v>
      </c>
      <c r="L195" s="245">
        <v>11</v>
      </c>
    </row>
    <row r="196" spans="1:12" x14ac:dyDescent="0.25">
      <c r="A196" s="127" t="s">
        <v>252</v>
      </c>
      <c r="B196" s="107">
        <f>ROUND((+B223*1.01),2)</f>
        <v>13.75</v>
      </c>
      <c r="C196" s="107">
        <f t="shared" ref="C196:K196" si="85">ROUND((+C223*1.01),2)</f>
        <v>14.09</v>
      </c>
      <c r="D196" s="107">
        <f t="shared" si="85"/>
        <v>14.44</v>
      </c>
      <c r="E196" s="107">
        <f t="shared" si="85"/>
        <v>14.81</v>
      </c>
      <c r="F196" s="107">
        <f t="shared" si="85"/>
        <v>15.17</v>
      </c>
      <c r="G196" s="107">
        <f t="shared" si="85"/>
        <v>15.55</v>
      </c>
      <c r="H196" s="107">
        <f t="shared" si="85"/>
        <v>15.91</v>
      </c>
      <c r="I196" s="107">
        <f t="shared" si="85"/>
        <v>16.260000000000002</v>
      </c>
      <c r="J196" s="107">
        <f t="shared" si="85"/>
        <v>16.579999999999998</v>
      </c>
      <c r="K196" s="107">
        <f t="shared" si="85"/>
        <v>16.920000000000002</v>
      </c>
    </row>
    <row r="197" spans="1:12" x14ac:dyDescent="0.25">
      <c r="A197" s="127" t="s">
        <v>253</v>
      </c>
      <c r="B197" s="107">
        <f>ROUND((+B222*1.01),2)</f>
        <v>16.21</v>
      </c>
      <c r="C197" s="107">
        <f t="shared" ref="C197:K197" si="86">ROUND((+C222*1.01),2)</f>
        <v>16.61</v>
      </c>
      <c r="D197" s="107">
        <f t="shared" si="86"/>
        <v>17.03</v>
      </c>
      <c r="E197" s="107">
        <f t="shared" si="86"/>
        <v>17.45</v>
      </c>
      <c r="F197" s="107">
        <f t="shared" si="86"/>
        <v>17.89</v>
      </c>
      <c r="G197" s="107">
        <f t="shared" si="86"/>
        <v>18.34</v>
      </c>
      <c r="H197" s="107">
        <f t="shared" si="86"/>
        <v>18.8</v>
      </c>
      <c r="I197" s="107">
        <f t="shared" si="86"/>
        <v>19.170000000000002</v>
      </c>
      <c r="J197" s="107">
        <f t="shared" si="86"/>
        <v>19.55</v>
      </c>
      <c r="K197" s="107">
        <f t="shared" si="86"/>
        <v>19.95</v>
      </c>
    </row>
    <row r="198" spans="1:12" x14ac:dyDescent="0.25">
      <c r="A198" s="127" t="s">
        <v>254</v>
      </c>
      <c r="B198" s="107">
        <f>ROUND((+B221*1.01),2)</f>
        <v>17.440000000000001</v>
      </c>
      <c r="C198" s="107">
        <f t="shared" ref="C198:K198" si="87">ROUND((+C221*1.01),2)</f>
        <v>17.88</v>
      </c>
      <c r="D198" s="107">
        <f t="shared" si="87"/>
        <v>18.32</v>
      </c>
      <c r="E198" s="107">
        <f t="shared" si="87"/>
        <v>18.78</v>
      </c>
      <c r="F198" s="107">
        <f t="shared" si="87"/>
        <v>19.25</v>
      </c>
      <c r="G198" s="107">
        <f t="shared" si="87"/>
        <v>19.739999999999998</v>
      </c>
      <c r="H198" s="107">
        <f t="shared" si="87"/>
        <v>20.22</v>
      </c>
      <c r="I198" s="107">
        <f t="shared" si="87"/>
        <v>20.62</v>
      </c>
      <c r="J198" s="107">
        <f t="shared" si="87"/>
        <v>21.04</v>
      </c>
      <c r="K198" s="107">
        <f t="shared" si="87"/>
        <v>21.46</v>
      </c>
    </row>
    <row r="199" spans="1:12" x14ac:dyDescent="0.25">
      <c r="A199" s="127" t="s">
        <v>255</v>
      </c>
      <c r="B199" s="107">
        <f>ROUND((+B220*1.01),2)</f>
        <v>19.010000000000002</v>
      </c>
      <c r="C199" s="107">
        <f t="shared" ref="C199:K199" si="88">ROUND((+C220*1.01),2)</f>
        <v>19.48</v>
      </c>
      <c r="D199" s="107">
        <f t="shared" si="88"/>
        <v>19.97</v>
      </c>
      <c r="E199" s="107">
        <f t="shared" si="88"/>
        <v>20.47</v>
      </c>
      <c r="F199" s="107">
        <f t="shared" si="88"/>
        <v>20.98</v>
      </c>
      <c r="G199" s="107">
        <f t="shared" si="88"/>
        <v>21.5</v>
      </c>
      <c r="H199" s="107">
        <f t="shared" si="88"/>
        <v>22.05</v>
      </c>
      <c r="I199" s="107">
        <f t="shared" si="88"/>
        <v>22.48</v>
      </c>
      <c r="J199" s="107">
        <f t="shared" si="88"/>
        <v>22.94</v>
      </c>
      <c r="K199" s="107">
        <f t="shared" si="88"/>
        <v>23.39</v>
      </c>
    </row>
    <row r="200" spans="1:12" x14ac:dyDescent="0.25">
      <c r="A200" s="127" t="s">
        <v>259</v>
      </c>
      <c r="B200" s="107">
        <f>ROUND((+B219*1.01),2)</f>
        <v>20.51</v>
      </c>
      <c r="C200" s="107">
        <f t="shared" ref="C200:K200" si="89">ROUND((+C219*1.01),2)</f>
        <v>21.03</v>
      </c>
      <c r="D200" s="107">
        <f t="shared" si="89"/>
        <v>21.55</v>
      </c>
      <c r="E200" s="107">
        <f t="shared" si="89"/>
        <v>22.1</v>
      </c>
      <c r="F200" s="107">
        <f t="shared" si="89"/>
        <v>22.64</v>
      </c>
      <c r="G200" s="107">
        <f t="shared" si="89"/>
        <v>23.21</v>
      </c>
      <c r="H200" s="107">
        <f t="shared" si="89"/>
        <v>23.8</v>
      </c>
      <c r="I200" s="107">
        <f t="shared" si="89"/>
        <v>24.27</v>
      </c>
      <c r="J200" s="107">
        <f t="shared" si="89"/>
        <v>24.76</v>
      </c>
      <c r="K200" s="107">
        <f t="shared" si="89"/>
        <v>25.25</v>
      </c>
    </row>
    <row r="201" spans="1:12" x14ac:dyDescent="0.25">
      <c r="A201" s="127" t="s">
        <v>260</v>
      </c>
      <c r="B201" s="108">
        <f>ROUND((+B218*1.01),0)</f>
        <v>51942</v>
      </c>
      <c r="C201" s="108">
        <f t="shared" ref="C201:K201" si="90">ROUND((+C218*1.01),0)</f>
        <v>53241</v>
      </c>
      <c r="D201" s="108">
        <f t="shared" si="90"/>
        <v>54571</v>
      </c>
      <c r="E201" s="108">
        <f t="shared" si="90"/>
        <v>55936</v>
      </c>
      <c r="F201" s="108">
        <f t="shared" si="90"/>
        <v>57335</v>
      </c>
      <c r="G201" s="108">
        <f t="shared" si="90"/>
        <v>58768</v>
      </c>
      <c r="H201" s="108">
        <f t="shared" si="90"/>
        <v>59944</v>
      </c>
      <c r="I201" s="108">
        <f t="shared" si="90"/>
        <v>61142</v>
      </c>
      <c r="J201" s="108">
        <f t="shared" si="90"/>
        <v>62364</v>
      </c>
      <c r="K201" s="108">
        <f t="shared" si="90"/>
        <v>63612</v>
      </c>
    </row>
    <row r="202" spans="1:12" x14ac:dyDescent="0.25">
      <c r="A202" s="127" t="s">
        <v>261</v>
      </c>
      <c r="B202" s="108">
        <f>ROUND((+B217*1.01),0)</f>
        <v>55194</v>
      </c>
      <c r="C202" s="108">
        <f t="shared" ref="C202:K202" si="91">ROUND((+C217*1.01),0)</f>
        <v>56574</v>
      </c>
      <c r="D202" s="108">
        <f t="shared" si="91"/>
        <v>57989</v>
      </c>
      <c r="E202" s="108">
        <f t="shared" si="91"/>
        <v>59439</v>
      </c>
      <c r="F202" s="108">
        <f t="shared" si="91"/>
        <v>60924</v>
      </c>
      <c r="G202" s="108">
        <f t="shared" si="91"/>
        <v>62447</v>
      </c>
      <c r="H202" s="108">
        <f t="shared" si="91"/>
        <v>63697</v>
      </c>
      <c r="I202" s="108">
        <f t="shared" si="91"/>
        <v>64970</v>
      </c>
      <c r="J202" s="108">
        <f t="shared" si="91"/>
        <v>66270</v>
      </c>
      <c r="K202" s="108">
        <f t="shared" si="91"/>
        <v>67595</v>
      </c>
    </row>
    <row r="203" spans="1:12" x14ac:dyDescent="0.25">
      <c r="A203" s="127" t="s">
        <v>263</v>
      </c>
      <c r="B203" s="108">
        <f>ROUND((+B216*1.01),0)</f>
        <v>70156</v>
      </c>
      <c r="C203" s="108">
        <f t="shared" ref="C203:K203" si="92">ROUND((+C216*1.01),0)</f>
        <v>71910</v>
      </c>
      <c r="D203" s="108">
        <f t="shared" si="92"/>
        <v>73707</v>
      </c>
      <c r="E203" s="108">
        <f t="shared" si="92"/>
        <v>75550</v>
      </c>
      <c r="F203" s="108">
        <f t="shared" si="92"/>
        <v>77439</v>
      </c>
      <c r="G203" s="108">
        <f t="shared" si="92"/>
        <v>79375</v>
      </c>
      <c r="H203" s="108">
        <f t="shared" si="92"/>
        <v>81359</v>
      </c>
      <c r="I203" s="108">
        <f t="shared" si="92"/>
        <v>82987</v>
      </c>
      <c r="J203" s="108">
        <f t="shared" si="92"/>
        <v>84646</v>
      </c>
      <c r="K203" s="108">
        <f t="shared" si="92"/>
        <v>86339</v>
      </c>
    </row>
    <row r="204" spans="1:12" x14ac:dyDescent="0.25">
      <c r="A204" s="127" t="s">
        <v>264</v>
      </c>
      <c r="B204" s="108">
        <f>ROUND((+B215*1.01),0)</f>
        <v>77171</v>
      </c>
      <c r="C204" s="108">
        <f t="shared" ref="C204:K204" si="93">ROUND((+C215*1.01),0)</f>
        <v>79100</v>
      </c>
      <c r="D204" s="108">
        <f t="shared" si="93"/>
        <v>81078</v>
      </c>
      <c r="E204" s="108">
        <f t="shared" si="93"/>
        <v>83105</v>
      </c>
      <c r="F204" s="108">
        <f t="shared" si="93"/>
        <v>85182</v>
      </c>
      <c r="G204" s="108">
        <f t="shared" si="93"/>
        <v>87311</v>
      </c>
      <c r="H204" s="108">
        <f t="shared" si="93"/>
        <v>89494</v>
      </c>
      <c r="I204" s="108">
        <f t="shared" si="93"/>
        <v>91285</v>
      </c>
      <c r="J204" s="108">
        <f t="shared" si="93"/>
        <v>93110</v>
      </c>
      <c r="K204" s="108">
        <f t="shared" si="93"/>
        <v>94972</v>
      </c>
    </row>
    <row r="205" spans="1:12" x14ac:dyDescent="0.25">
      <c r="A205" s="127" t="s">
        <v>265</v>
      </c>
      <c r="B205" s="108">
        <f>ROUND((+B214*1.01),0)</f>
        <v>84888</v>
      </c>
      <c r="C205" s="108">
        <f t="shared" ref="C205:K205" si="94">ROUND((+C214*1.01),0)</f>
        <v>87010</v>
      </c>
      <c r="D205" s="108">
        <f t="shared" si="94"/>
        <v>89186</v>
      </c>
      <c r="E205" s="108">
        <f t="shared" si="94"/>
        <v>91416</v>
      </c>
      <c r="F205" s="108">
        <f t="shared" si="94"/>
        <v>93701</v>
      </c>
      <c r="G205" s="108">
        <f t="shared" si="94"/>
        <v>96044</v>
      </c>
      <c r="H205" s="108">
        <f t="shared" si="94"/>
        <v>98445</v>
      </c>
      <c r="I205" s="108">
        <f t="shared" si="94"/>
        <v>100413</v>
      </c>
      <c r="J205" s="108">
        <f t="shared" si="94"/>
        <v>102422</v>
      </c>
      <c r="K205" s="108">
        <f t="shared" si="94"/>
        <v>104470</v>
      </c>
    </row>
    <row r="207" spans="1:12" x14ac:dyDescent="0.25">
      <c r="A207" s="127" t="s">
        <v>49</v>
      </c>
      <c r="B207" s="101" t="s">
        <v>284</v>
      </c>
    </row>
    <row r="208" spans="1:12" x14ac:dyDescent="0.25">
      <c r="A208" s="127" t="s">
        <v>258</v>
      </c>
      <c r="B208" s="245">
        <v>1</v>
      </c>
      <c r="C208" s="245">
        <v>2</v>
      </c>
      <c r="D208" s="245">
        <v>3</v>
      </c>
      <c r="E208" s="245">
        <v>4</v>
      </c>
      <c r="F208" s="245">
        <v>5</v>
      </c>
      <c r="G208" s="245">
        <v>6</v>
      </c>
      <c r="H208" s="245">
        <v>7</v>
      </c>
      <c r="I208" s="245">
        <v>8</v>
      </c>
      <c r="J208" s="245">
        <v>9</v>
      </c>
      <c r="K208" s="245">
        <v>10</v>
      </c>
      <c r="L208" s="245">
        <v>11</v>
      </c>
    </row>
    <row r="209" spans="1:12" x14ac:dyDescent="0.25">
      <c r="A209" s="127" t="s">
        <v>260</v>
      </c>
      <c r="B209" s="1">
        <f>ROUND((+B201/1827),2)</f>
        <v>28.43</v>
      </c>
      <c r="C209" s="1">
        <f t="shared" ref="C209:K209" si="95">ROUND((+C201/1827),2)</f>
        <v>29.14</v>
      </c>
      <c r="D209" s="1">
        <f t="shared" si="95"/>
        <v>29.87</v>
      </c>
      <c r="E209" s="1">
        <f t="shared" si="95"/>
        <v>30.62</v>
      </c>
      <c r="F209" s="1">
        <f t="shared" si="95"/>
        <v>31.38</v>
      </c>
      <c r="G209" s="1">
        <f t="shared" si="95"/>
        <v>32.17</v>
      </c>
      <c r="H209" s="1">
        <f t="shared" si="95"/>
        <v>32.81</v>
      </c>
      <c r="I209" s="1">
        <f t="shared" si="95"/>
        <v>33.47</v>
      </c>
      <c r="J209" s="1">
        <f t="shared" si="95"/>
        <v>34.130000000000003</v>
      </c>
      <c r="K209" s="1">
        <f t="shared" si="95"/>
        <v>34.82</v>
      </c>
    </row>
    <row r="210" spans="1:12" x14ac:dyDescent="0.25">
      <c r="A210" s="127" t="s">
        <v>3</v>
      </c>
      <c r="B210" s="1">
        <f>ROUND((+B201/2090),2)</f>
        <v>24.85</v>
      </c>
      <c r="C210" s="1">
        <f t="shared" ref="C210:K210" si="96">ROUND((+C201/2090),2)</f>
        <v>25.47</v>
      </c>
      <c r="D210" s="1">
        <f t="shared" si="96"/>
        <v>26.11</v>
      </c>
      <c r="E210" s="1">
        <f t="shared" si="96"/>
        <v>26.76</v>
      </c>
      <c r="F210" s="1">
        <f t="shared" si="96"/>
        <v>27.43</v>
      </c>
      <c r="G210" s="1">
        <f t="shared" si="96"/>
        <v>28.12</v>
      </c>
      <c r="H210" s="1">
        <f t="shared" si="96"/>
        <v>28.68</v>
      </c>
      <c r="I210" s="1">
        <f t="shared" si="96"/>
        <v>29.25</v>
      </c>
      <c r="J210" s="1">
        <f t="shared" si="96"/>
        <v>29.84</v>
      </c>
      <c r="K210" s="1">
        <f t="shared" si="96"/>
        <v>30.44</v>
      </c>
    </row>
    <row r="212" spans="1:12" x14ac:dyDescent="0.25">
      <c r="A212" s="274" t="s">
        <v>14</v>
      </c>
      <c r="B212" s="109"/>
      <c r="C212" s="109"/>
      <c r="D212" s="109"/>
      <c r="E212" s="109"/>
      <c r="F212" s="109"/>
      <c r="G212" s="109"/>
      <c r="H212" s="109"/>
      <c r="I212" s="109"/>
      <c r="J212" s="109"/>
      <c r="K212" s="109"/>
    </row>
    <row r="213" spans="1:12" x14ac:dyDescent="0.25">
      <c r="A213" s="274" t="s">
        <v>258</v>
      </c>
      <c r="B213" s="245">
        <v>1</v>
      </c>
      <c r="C213" s="245">
        <v>2</v>
      </c>
      <c r="D213" s="245">
        <v>3</v>
      </c>
      <c r="E213" s="245">
        <v>4</v>
      </c>
      <c r="F213" s="245">
        <v>5</v>
      </c>
      <c r="G213" s="245">
        <v>6</v>
      </c>
      <c r="H213" s="245">
        <v>7</v>
      </c>
      <c r="I213" s="245">
        <v>8</v>
      </c>
      <c r="J213" s="245">
        <v>9</v>
      </c>
      <c r="K213" s="245">
        <v>10</v>
      </c>
      <c r="L213" s="245">
        <v>11</v>
      </c>
    </row>
    <row r="214" spans="1:12" x14ac:dyDescent="0.25">
      <c r="A214" s="274" t="s">
        <v>265</v>
      </c>
      <c r="B214" s="275">
        <v>84048</v>
      </c>
      <c r="C214" s="275">
        <v>86149</v>
      </c>
      <c r="D214" s="275">
        <v>88303</v>
      </c>
      <c r="E214" s="275">
        <v>90511</v>
      </c>
      <c r="F214" s="275">
        <v>92773</v>
      </c>
      <c r="G214" s="275">
        <v>95093</v>
      </c>
      <c r="H214" s="275">
        <v>97470</v>
      </c>
      <c r="I214" s="275">
        <v>99419</v>
      </c>
      <c r="J214" s="275">
        <v>101408</v>
      </c>
      <c r="K214" s="275">
        <v>103436</v>
      </c>
    </row>
    <row r="215" spans="1:12" x14ac:dyDescent="0.25">
      <c r="A215" s="274" t="s">
        <v>264</v>
      </c>
      <c r="B215" s="275">
        <v>76407</v>
      </c>
      <c r="C215" s="275">
        <v>78317</v>
      </c>
      <c r="D215" s="275">
        <v>80275</v>
      </c>
      <c r="E215" s="275">
        <v>82282</v>
      </c>
      <c r="F215" s="275">
        <v>84339</v>
      </c>
      <c r="G215" s="275">
        <v>86447</v>
      </c>
      <c r="H215" s="275">
        <v>88608</v>
      </c>
      <c r="I215" s="275">
        <v>90381</v>
      </c>
      <c r="J215" s="275">
        <v>92188</v>
      </c>
      <c r="K215" s="275">
        <v>94032</v>
      </c>
    </row>
    <row r="216" spans="1:12" x14ac:dyDescent="0.25">
      <c r="A216" s="274" t="s">
        <v>263</v>
      </c>
      <c r="B216" s="275">
        <v>69461</v>
      </c>
      <c r="C216" s="275">
        <v>71198</v>
      </c>
      <c r="D216" s="275">
        <v>72977</v>
      </c>
      <c r="E216" s="275">
        <v>74802</v>
      </c>
      <c r="F216" s="275">
        <v>76672</v>
      </c>
      <c r="G216" s="275">
        <v>78589</v>
      </c>
      <c r="H216" s="275">
        <v>80553</v>
      </c>
      <c r="I216" s="275">
        <v>82165</v>
      </c>
      <c r="J216" s="275">
        <v>83808</v>
      </c>
      <c r="K216" s="275">
        <v>85484</v>
      </c>
    </row>
    <row r="217" spans="1:12" x14ac:dyDescent="0.25">
      <c r="A217" s="274" t="s">
        <v>261</v>
      </c>
      <c r="B217" s="275">
        <v>54648</v>
      </c>
      <c r="C217" s="275">
        <v>56014</v>
      </c>
      <c r="D217" s="275">
        <v>57415</v>
      </c>
      <c r="E217" s="275">
        <v>58850</v>
      </c>
      <c r="F217" s="275">
        <v>60321</v>
      </c>
      <c r="G217" s="275">
        <v>61829</v>
      </c>
      <c r="H217" s="275">
        <v>63066</v>
      </c>
      <c r="I217" s="275">
        <v>64327</v>
      </c>
      <c r="J217" s="275">
        <v>65614</v>
      </c>
      <c r="K217" s="275">
        <v>66926</v>
      </c>
    </row>
    <row r="218" spans="1:12" x14ac:dyDescent="0.25">
      <c r="A218" s="274" t="s">
        <v>260</v>
      </c>
      <c r="B218" s="275">
        <v>51428</v>
      </c>
      <c r="C218" s="275">
        <v>52714</v>
      </c>
      <c r="D218" s="275">
        <v>54031</v>
      </c>
      <c r="E218" s="275">
        <v>55382</v>
      </c>
      <c r="F218" s="275">
        <v>56767</v>
      </c>
      <c r="G218" s="275">
        <v>58186</v>
      </c>
      <c r="H218" s="275">
        <v>59350</v>
      </c>
      <c r="I218" s="275">
        <v>60537</v>
      </c>
      <c r="J218" s="275">
        <v>61747</v>
      </c>
      <c r="K218" s="275">
        <v>62982</v>
      </c>
    </row>
    <row r="219" spans="1:12" x14ac:dyDescent="0.25">
      <c r="A219" s="274" t="s">
        <v>259</v>
      </c>
      <c r="B219" s="110">
        <v>20.309999999999999</v>
      </c>
      <c r="C219" s="110">
        <v>20.82</v>
      </c>
      <c r="D219" s="110">
        <v>21.34</v>
      </c>
      <c r="E219" s="110">
        <v>21.88</v>
      </c>
      <c r="F219" s="110">
        <v>22.42</v>
      </c>
      <c r="G219" s="110">
        <v>22.98</v>
      </c>
      <c r="H219" s="110">
        <v>23.56</v>
      </c>
      <c r="I219" s="110">
        <v>24.03</v>
      </c>
      <c r="J219" s="110">
        <v>24.51</v>
      </c>
      <c r="K219" s="110">
        <v>25</v>
      </c>
    </row>
    <row r="220" spans="1:12" x14ac:dyDescent="0.25">
      <c r="A220" s="274" t="s">
        <v>255</v>
      </c>
      <c r="B220" s="110">
        <v>18.82</v>
      </c>
      <c r="C220" s="110">
        <v>19.29</v>
      </c>
      <c r="D220" s="110">
        <v>19.77</v>
      </c>
      <c r="E220" s="110">
        <v>20.27</v>
      </c>
      <c r="F220" s="110">
        <v>20.77</v>
      </c>
      <c r="G220" s="110">
        <v>21.29</v>
      </c>
      <c r="H220" s="110">
        <v>21.83</v>
      </c>
      <c r="I220" s="110">
        <v>22.26</v>
      </c>
      <c r="J220" s="110">
        <v>22.71</v>
      </c>
      <c r="K220" s="110">
        <v>23.16</v>
      </c>
    </row>
    <row r="221" spans="1:12" x14ac:dyDescent="0.25">
      <c r="A221" s="274" t="s">
        <v>254</v>
      </c>
      <c r="B221" s="110">
        <v>17.27</v>
      </c>
      <c r="C221" s="110">
        <v>17.7</v>
      </c>
      <c r="D221" s="110">
        <v>18.14</v>
      </c>
      <c r="E221" s="110">
        <v>18.59</v>
      </c>
      <c r="F221" s="110">
        <v>19.059999999999999</v>
      </c>
      <c r="G221" s="110">
        <v>19.54</v>
      </c>
      <c r="H221" s="110">
        <v>20.02</v>
      </c>
      <c r="I221" s="110">
        <v>20.420000000000002</v>
      </c>
      <c r="J221" s="110">
        <v>20.83</v>
      </c>
      <c r="K221" s="110">
        <v>21.25</v>
      </c>
    </row>
    <row r="222" spans="1:12" x14ac:dyDescent="0.25">
      <c r="A222" s="274" t="s">
        <v>253</v>
      </c>
      <c r="B222" s="110">
        <v>16.05</v>
      </c>
      <c r="C222" s="110">
        <v>16.45</v>
      </c>
      <c r="D222" s="110">
        <v>16.86</v>
      </c>
      <c r="E222" s="110">
        <v>17.28</v>
      </c>
      <c r="F222" s="110">
        <v>17.71</v>
      </c>
      <c r="G222" s="110">
        <v>18.16</v>
      </c>
      <c r="H222" s="110">
        <v>18.61</v>
      </c>
      <c r="I222" s="110">
        <v>18.98</v>
      </c>
      <c r="J222" s="110">
        <v>19.36</v>
      </c>
      <c r="K222" s="110">
        <v>19.75</v>
      </c>
    </row>
    <row r="223" spans="1:12" x14ac:dyDescent="0.25">
      <c r="A223" s="274" t="s">
        <v>252</v>
      </c>
      <c r="B223" s="110">
        <v>13.61</v>
      </c>
      <c r="C223" s="110">
        <v>13.95</v>
      </c>
      <c r="D223" s="110">
        <v>14.3</v>
      </c>
      <c r="E223" s="110">
        <v>14.66</v>
      </c>
      <c r="F223" s="110">
        <v>15.02</v>
      </c>
      <c r="G223" s="110">
        <v>15.4</v>
      </c>
      <c r="H223" s="110">
        <v>15.75</v>
      </c>
      <c r="I223" s="110">
        <v>16.100000000000001</v>
      </c>
      <c r="J223" s="110">
        <v>16.420000000000002</v>
      </c>
      <c r="K223" s="110">
        <v>16.75</v>
      </c>
    </row>
    <row r="224" spans="1:12" x14ac:dyDescent="0.25">
      <c r="A224" s="127"/>
      <c r="B224" s="101"/>
      <c r="C224" s="101"/>
      <c r="D224" s="101"/>
      <c r="E224" s="101"/>
      <c r="F224" s="101"/>
      <c r="G224" s="101"/>
      <c r="H224" s="101"/>
      <c r="I224" s="101"/>
      <c r="J224" s="101"/>
      <c r="K224" s="101"/>
    </row>
    <row r="225" spans="1:11" x14ac:dyDescent="0.25">
      <c r="A225" s="127" t="s">
        <v>3</v>
      </c>
      <c r="B225" s="1">
        <f>ROUND((+B218/2090),2)</f>
        <v>24.61</v>
      </c>
      <c r="C225" s="1">
        <f t="shared" ref="C225:K225" si="97">ROUND((+C218/2090),2)</f>
        <v>25.22</v>
      </c>
      <c r="D225" s="1">
        <f t="shared" si="97"/>
        <v>25.85</v>
      </c>
      <c r="E225" s="1">
        <f t="shared" si="97"/>
        <v>26.5</v>
      </c>
      <c r="F225" s="1">
        <f t="shared" si="97"/>
        <v>27.16</v>
      </c>
      <c r="G225" s="1">
        <f t="shared" si="97"/>
        <v>27.84</v>
      </c>
      <c r="H225" s="1">
        <f t="shared" si="97"/>
        <v>28.4</v>
      </c>
      <c r="I225" s="1">
        <f t="shared" si="97"/>
        <v>28.97</v>
      </c>
      <c r="J225" s="1">
        <f t="shared" si="97"/>
        <v>29.54</v>
      </c>
      <c r="K225" s="1">
        <f t="shared" si="97"/>
        <v>30.13</v>
      </c>
    </row>
  </sheetData>
  <hyperlinks>
    <hyperlink ref="G23" location="'Table of Contents'!A1" display="TOC" xr:uid="{00000000-0004-0000-4200-000000000000}"/>
    <hyperlink ref="G1" location="'Table of Contents'!A1" display="TOC" xr:uid="{B747CB14-B504-4E67-B7FD-D03D15C84737}"/>
  </hyperlinks>
  <pageMargins left="0.7" right="0.7" top="0.75" bottom="0.75" header="0.3" footer="0.3"/>
  <pageSetup scale="80" orientation="portrait" r:id="rId1"/>
  <headerFooter>
    <oddFooter>&amp;L&amp;D &amp;T&amp;C&amp;F&amp;R&amp;A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A7C068C8668B49BEE35E78F7C6470F" ma:contentTypeVersion="14" ma:contentTypeDescription="Create a new document." ma:contentTypeScope="" ma:versionID="f1c688f14b3da3cd912df89d8669beac">
  <xsd:schema xmlns:xsd="http://www.w3.org/2001/XMLSchema" xmlns:xs="http://www.w3.org/2001/XMLSchema" xmlns:p="http://schemas.microsoft.com/office/2006/metadata/properties" xmlns:ns2="59a1a659-2450-4b3d-ae2b-17700db09355" xmlns:ns3="591520ea-1209-4f18-a86d-075aad92aedd" targetNamespace="http://schemas.microsoft.com/office/2006/metadata/properties" ma:root="true" ma:fieldsID="b6c6a9280a18d75d451229a88901bded" ns2:_="" ns3:_="">
    <xsd:import namespace="59a1a659-2450-4b3d-ae2b-17700db09355"/>
    <xsd:import namespace="591520ea-1209-4f18-a86d-075aad92aed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a1a659-2450-4b3d-ae2b-17700db093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95a921a-ef64-4683-965a-38e8efb1922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91520ea-1209-4f18-a86d-075aad92aed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7e6e88ca-2405-4578-9933-2870b683f6c2}" ma:internalName="TaxCatchAll" ma:showField="CatchAllData" ma:web="591520ea-1209-4f18-a86d-075aad92ae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9a1a659-2450-4b3d-ae2b-17700db09355">
      <Terms xmlns="http://schemas.microsoft.com/office/infopath/2007/PartnerControls"/>
    </lcf76f155ced4ddcb4097134ff3c332f>
    <TaxCatchAll xmlns="591520ea-1209-4f18-a86d-075aad92aedd" xsi:nil="true"/>
  </documentManagement>
</p:properties>
</file>

<file path=customXml/itemProps1.xml><?xml version="1.0" encoding="utf-8"?>
<ds:datastoreItem xmlns:ds="http://schemas.openxmlformats.org/officeDocument/2006/customXml" ds:itemID="{2453F478-31A9-4337-B33C-05B33A5B50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a1a659-2450-4b3d-ae2b-17700db09355"/>
    <ds:schemaRef ds:uri="591520ea-1209-4f18-a86d-075aad92ae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77D906-675B-4426-9BAC-47254928B114}">
  <ds:schemaRefs>
    <ds:schemaRef ds:uri="http://schemas.microsoft.com/sharepoint/v3/contenttype/forms"/>
  </ds:schemaRefs>
</ds:datastoreItem>
</file>

<file path=customXml/itemProps3.xml><?xml version="1.0" encoding="utf-8"?>
<ds:datastoreItem xmlns:ds="http://schemas.openxmlformats.org/officeDocument/2006/customXml" ds:itemID="{32B54F09-4363-431D-B79C-4D7AB1FD7FA5}">
  <ds:schemaRefs>
    <ds:schemaRef ds:uri="http://schemas.microsoft.com/office/2006/metadata/properties"/>
    <ds:schemaRef ds:uri="http://schemas.microsoft.com/office/infopath/2007/PartnerControls"/>
    <ds:schemaRef ds:uri="59a1a659-2450-4b3d-ae2b-17700db09355"/>
    <ds:schemaRef ds:uri="591520ea-1209-4f18-a86d-075aad92ae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190 Publ Bldg Utilities</vt:lpstr>
      <vt:lpstr>420 DPW</vt:lpstr>
      <vt:lpstr>192 Public Bldgs</vt:lpstr>
      <vt:lpstr>422 Maintenance</vt:lpstr>
      <vt:lpstr>652 Parks</vt:lpstr>
      <vt:lpstr>423 Snow</vt:lpstr>
      <vt:lpstr>433 Solid Waste</vt:lpstr>
      <vt:lpstr>661 449 Hwy</vt:lpstr>
      <vt:lpstr>NAGE &amp; Non-Union Wages</vt:lpstr>
      <vt:lpstr>UE Wages</vt:lpstr>
      <vt:lpstr>'190 Publ Bldg Utilities'!Print_Area</vt:lpstr>
      <vt:lpstr>'192 Public Bldgs'!Print_Area</vt:lpstr>
      <vt:lpstr>'420 DPW'!Print_Area</vt:lpstr>
      <vt:lpstr>'422 Maintenance'!Print_Area</vt:lpstr>
      <vt:lpstr>'423 Snow'!Print_Area</vt:lpstr>
      <vt:lpstr>'433 Solid Waste'!Print_Area</vt:lpstr>
      <vt:lpstr>'652 Parks'!Print_Area</vt:lpstr>
      <vt:lpstr>'661 449 Hwy'!Print_Area</vt:lpstr>
      <vt:lpstr>'NAGE &amp; Non-Union Wages'!Print_Area</vt:lpstr>
      <vt:lpstr>'192 Public Bldgs'!Print_Titles</vt:lpstr>
      <vt:lpstr>'420 DPW'!Print_Titles</vt:lpstr>
      <vt:lpstr>'422 Maintenance'!Print_Titles</vt:lpstr>
    </vt:vector>
  </TitlesOfParts>
  <Manager/>
  <Company>Town Of Montague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Montague-User</dc:creator>
  <cp:keywords/>
  <dc:description/>
  <cp:lastModifiedBy>CarolynO-Montague Town Accountant</cp:lastModifiedBy>
  <cp:revision/>
  <cp:lastPrinted>2023-01-24T18:50:09Z</cp:lastPrinted>
  <dcterms:created xsi:type="dcterms:W3CDTF">2000-05-08T16:10:41Z</dcterms:created>
  <dcterms:modified xsi:type="dcterms:W3CDTF">2023-01-31T16:17:30Z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0x010100E7A7C068C8668B49BEE35E78F7C6470F</vt:lpwstr>
  </property>
  <property fmtid="{D5CDD505-2E9C-101B-9397-08002B2CF9AE}" pid="3" name="MediaServiceImageTags">
    <vt:lpwstr/>
  </property>
</Properties>
</file>