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30" windowWidth="11655" windowHeight="3225" tabRatio="591"/>
  </bookViews>
  <sheets>
    <sheet name="Revenue Projections Detail" sheetId="26" r:id="rId1"/>
  </sheets>
  <definedNames>
    <definedName name="_xlnm.Print_Area" localSheetId="0">'Revenue Projections Detail'!$H$7:$K$92</definedName>
    <definedName name="_xlnm.Print_Titles" localSheetId="0">'Revenue Projections Detail'!$A:$A,'Revenue Projections Detail'!$1:$4</definedName>
  </definedNames>
  <calcPr calcId="145621"/>
</workbook>
</file>

<file path=xl/calcChain.xml><?xml version="1.0" encoding="utf-8"?>
<calcChain xmlns="http://schemas.openxmlformats.org/spreadsheetml/2006/main">
  <c r="L25" i="26" l="1"/>
  <c r="L28" i="26" s="1"/>
  <c r="L74" i="26"/>
  <c r="L73" i="26"/>
  <c r="L68" i="26"/>
  <c r="L54" i="26"/>
  <c r="L55" i="26" s="1"/>
  <c r="L49" i="26"/>
  <c r="L13" i="26"/>
  <c r="L16" i="26" s="1"/>
  <c r="L12" i="26"/>
  <c r="L11" i="26"/>
  <c r="L10" i="26"/>
  <c r="L9" i="26"/>
  <c r="L8" i="26"/>
  <c r="L75" i="26" l="1"/>
  <c r="L76" i="26" s="1"/>
  <c r="K24" i="26"/>
  <c r="K25" i="26" s="1"/>
  <c r="K28" i="26" s="1"/>
  <c r="I68" i="26" l="1"/>
  <c r="I73" i="26"/>
  <c r="I47" i="26"/>
  <c r="I49" i="26" s="1"/>
  <c r="I55" i="26" s="1"/>
  <c r="I24" i="26"/>
  <c r="I25" i="26" s="1"/>
  <c r="I28" i="26" s="1"/>
  <c r="I9" i="26"/>
  <c r="I13" i="26" s="1"/>
  <c r="I16" i="26" s="1"/>
  <c r="I75" i="26" l="1"/>
  <c r="K54" i="26" l="1"/>
  <c r="H47" i="26" l="1"/>
  <c r="K83" i="26" l="1"/>
  <c r="K73" i="26" l="1"/>
  <c r="K84" i="26"/>
  <c r="K86" i="26"/>
  <c r="K87" i="26" s="1"/>
  <c r="K90" i="26" l="1"/>
  <c r="K89" i="26"/>
  <c r="K92" i="26" l="1"/>
  <c r="J71" i="26" l="1"/>
  <c r="J19" i="26" l="1"/>
  <c r="G47" i="26" l="1"/>
  <c r="J83" i="26"/>
  <c r="J84" i="26" s="1"/>
  <c r="J86" i="26" l="1"/>
  <c r="J87" i="26"/>
  <c r="J40" i="26"/>
  <c r="J90" i="26" l="1"/>
  <c r="J89" i="26"/>
  <c r="J92" i="26" l="1"/>
  <c r="J73" i="26" l="1"/>
  <c r="J24" i="26"/>
  <c r="J25" i="26" s="1"/>
  <c r="H25" i="26"/>
  <c r="C8" i="26"/>
  <c r="C9" i="26" s="1"/>
  <c r="C13" i="26" s="1"/>
  <c r="C16" i="26" s="1"/>
  <c r="B13" i="26"/>
  <c r="B16" i="26" s="1"/>
  <c r="B24" i="26"/>
  <c r="C24" i="26"/>
  <c r="D24" i="26"/>
  <c r="E24" i="26"/>
  <c r="B25" i="26"/>
  <c r="B28" i="26" s="1"/>
  <c r="C25" i="26"/>
  <c r="C28" i="26" s="1"/>
  <c r="D25" i="26"/>
  <c r="D28" i="26" s="1"/>
  <c r="E25" i="26"/>
  <c r="E28" i="26" s="1"/>
  <c r="B47" i="26"/>
  <c r="B49" i="26" s="1"/>
  <c r="D47" i="26"/>
  <c r="D49" i="26" s="1"/>
  <c r="E47" i="26"/>
  <c r="E49" i="26" s="1"/>
  <c r="C49" i="26"/>
  <c r="B68" i="26"/>
  <c r="E68" i="26"/>
  <c r="B73" i="26"/>
  <c r="C73" i="26"/>
  <c r="D73" i="26"/>
  <c r="E73" i="26"/>
  <c r="B74" i="26"/>
  <c r="C74" i="26" s="1"/>
  <c r="D74" i="26" s="1"/>
  <c r="E74" i="26" s="1"/>
  <c r="J28" i="26" l="1"/>
  <c r="B75" i="26"/>
  <c r="D8" i="26"/>
  <c r="D9" i="26" l="1"/>
  <c r="E8" i="26" s="1"/>
  <c r="D13" i="26" l="1"/>
  <c r="D16" i="26" s="1"/>
  <c r="E9" i="26"/>
  <c r="E13" i="26" s="1"/>
  <c r="E16" i="26" s="1"/>
  <c r="E75" i="26" l="1"/>
  <c r="F47" i="26"/>
  <c r="G68" i="26" l="1"/>
  <c r="G49" i="26"/>
  <c r="G55" i="26" s="1"/>
  <c r="G73" i="26"/>
  <c r="G24" i="26"/>
  <c r="G25" i="26" s="1"/>
  <c r="G28" i="26" s="1"/>
  <c r="G9" i="26" l="1"/>
  <c r="G13" i="26" l="1"/>
  <c r="G16" i="26" s="1"/>
  <c r="H8" i="26"/>
  <c r="G75" i="26" l="1"/>
  <c r="H9" i="26"/>
  <c r="J8" i="26" s="1"/>
  <c r="J9" i="26" l="1"/>
  <c r="J13" i="26" s="1"/>
  <c r="K8" i="26" l="1"/>
  <c r="K9" i="26" s="1"/>
  <c r="H28" i="26" l="1"/>
  <c r="H73" i="26" l="1"/>
  <c r="F24" i="26"/>
  <c r="F25" i="26" s="1"/>
  <c r="F28" i="26" s="1"/>
  <c r="F73" i="26"/>
  <c r="F49" i="26"/>
  <c r="F74" i="26" l="1"/>
  <c r="J74" i="26" s="1"/>
  <c r="C68" i="26" l="1"/>
  <c r="C75" i="26" s="1"/>
  <c r="G74" i="26"/>
  <c r="K74" i="26" s="1"/>
  <c r="H74" i="26"/>
  <c r="D68" i="26" l="1"/>
  <c r="D75" i="26" s="1"/>
  <c r="F68" i="26"/>
  <c r="K13" i="26" l="1"/>
  <c r="K16" i="26" s="1"/>
  <c r="J16" i="26"/>
  <c r="J68" i="26"/>
  <c r="F8" i="26"/>
  <c r="K68" i="26" l="1"/>
  <c r="F9" i="26"/>
  <c r="F13" i="26" s="1"/>
  <c r="F16" i="26" s="1"/>
  <c r="H13" i="26"/>
  <c r="H16" i="26" s="1"/>
  <c r="F75" i="26" l="1"/>
  <c r="K47" i="26" l="1"/>
  <c r="K49" i="26" s="1"/>
  <c r="H68" i="26"/>
  <c r="K55" i="26" l="1"/>
  <c r="K75" i="26"/>
  <c r="J47" i="26" l="1"/>
  <c r="H49" i="26"/>
  <c r="H55" i="26" s="1"/>
  <c r="J49" i="26" l="1"/>
  <c r="J75" i="26" s="1"/>
  <c r="H75" i="26"/>
  <c r="J55" i="26" l="1"/>
</calcChain>
</file>

<file path=xl/sharedStrings.xml><?xml version="1.0" encoding="utf-8"?>
<sst xmlns="http://schemas.openxmlformats.org/spreadsheetml/2006/main" count="153" uniqueCount="108">
  <si>
    <t>Actuals</t>
  </si>
  <si>
    <t>Receipts Res for Approp</t>
  </si>
  <si>
    <t>Prior Year Limit</t>
  </si>
  <si>
    <t>Actual</t>
  </si>
  <si>
    <t>FC</t>
  </si>
  <si>
    <t>Medicare part D Reimb</t>
  </si>
  <si>
    <t>FY2013</t>
  </si>
  <si>
    <t>One-Time State Aid</t>
  </si>
  <si>
    <t>Tax Levy</t>
  </si>
  <si>
    <t>New Growth</t>
  </si>
  <si>
    <t>Debt Exclusion</t>
  </si>
  <si>
    <t>Veterans' Benefits</t>
  </si>
  <si>
    <t>State Owned Land</t>
  </si>
  <si>
    <t xml:space="preserve">State Aid </t>
  </si>
  <si>
    <t>less offset</t>
  </si>
  <si>
    <t>Subtotal Tax Levy</t>
  </si>
  <si>
    <t>Subtotal Cherry Sheet</t>
  </si>
  <si>
    <t>Net State Revenue</t>
  </si>
  <si>
    <t>Net Levy</t>
  </si>
  <si>
    <t>Local Receipts</t>
  </si>
  <si>
    <t>Motor Vehicle Excise</t>
  </si>
  <si>
    <t>Other Excise</t>
  </si>
  <si>
    <t>PILOT</t>
  </si>
  <si>
    <t>Charges for Trash Disposal</t>
  </si>
  <si>
    <t>Licenses &amp; Permits</t>
  </si>
  <si>
    <t>Fines &amp; Forfeits</t>
  </si>
  <si>
    <t>Investment Income</t>
  </si>
  <si>
    <t>Miscellaneous Recurring</t>
  </si>
  <si>
    <t>Misc. Non-Recurring</t>
  </si>
  <si>
    <t>Penalties &amp; Interest</t>
  </si>
  <si>
    <t>Available Funds</t>
  </si>
  <si>
    <t>Free Cash</t>
  </si>
  <si>
    <t>Individual Articles</t>
  </si>
  <si>
    <t>Reduce Levy</t>
  </si>
  <si>
    <t>Total Available Funds</t>
  </si>
  <si>
    <t>Total Free Cash</t>
  </si>
  <si>
    <t>Total</t>
  </si>
  <si>
    <t>Public Libraries</t>
  </si>
  <si>
    <t>Other Charges for Service</t>
  </si>
  <si>
    <t>Less Allowance for A&amp;E</t>
  </si>
  <si>
    <t>Estimated</t>
  </si>
  <si>
    <t>Recap</t>
  </si>
  <si>
    <t>Grand Total General Revenue</t>
  </si>
  <si>
    <t>Budget</t>
  </si>
  <si>
    <t>Exemptions V/B/SS/Eld</t>
  </si>
  <si>
    <t>FCTS Stabilization</t>
  </si>
  <si>
    <t>GMRSD Stabilization</t>
  </si>
  <si>
    <t>Town Stabilization for Sp Articles</t>
  </si>
  <si>
    <t>Town Stabilization For GM</t>
  </si>
  <si>
    <t>FY2014</t>
  </si>
  <si>
    <t>Unrestricted Aid</t>
  </si>
  <si>
    <t>FY2015</t>
  </si>
  <si>
    <t>Less State Charges</t>
  </si>
  <si>
    <t>FY2016</t>
  </si>
  <si>
    <t>FCTS reimb for SRO-shown below</t>
  </si>
  <si>
    <t>FY2017</t>
  </si>
  <si>
    <t>Estimates</t>
  </si>
  <si>
    <t>Sale of RE &amp; Chapter 90</t>
  </si>
  <si>
    <t>FY2018</t>
  </si>
  <si>
    <t>Existing Sp Art Balances</t>
  </si>
  <si>
    <t>FY2019</t>
  </si>
  <si>
    <t>Total Local Receipts For AA</t>
  </si>
  <si>
    <t>Other Local Receipts</t>
  </si>
  <si>
    <t>FCTS SRO Reimb</t>
  </si>
  <si>
    <t>50% Kearsarge Lease</t>
  </si>
  <si>
    <t>Grand Total Local Receipts</t>
  </si>
  <si>
    <t>Proposed</t>
  </si>
  <si>
    <t>GMRSD SRO Reimb</t>
  </si>
  <si>
    <t>FY2020</t>
  </si>
  <si>
    <t>Kearsarge Rental Breakdown</t>
  </si>
  <si>
    <t>50% Stabilization</t>
  </si>
  <si>
    <t>GRMSD 48.5% Operating to Allocation</t>
  </si>
  <si>
    <t>Town 51.5% Operating to Town Capital Stabilization</t>
  </si>
  <si>
    <t>GRMSD 48.5% Capital to GMRSD Stabilization Fund</t>
  </si>
  <si>
    <t>Town 51.5% Capital to Town Capital Stabilization</t>
  </si>
  <si>
    <t>Total allocation</t>
  </si>
  <si>
    <t>To allocate 50% of the Kearsarge lease revenue as general revenue to be included in the affordable assessment calculation. The remaining 50% will be split 48.5% to the GMRSD Stabilization Fund and 51.5% percent to the Town Capital Stabilization Fund. The Finance Committee shall then increase the appropriation to the Town Capital Stabilization Fund by our 51.5% of the 50% of general revenue.  The GMRSD will end up with 48.5% of the total Kearsarge lease revenue, half of the 48.5% in affordable assessment and half of the 48.5% in the GMRSD Stabilization Fund. The town ends up with 51.5% of the total lease revenue in the Town Capital Stabilization Fund.</t>
  </si>
  <si>
    <t>50% General Revenue -Operating</t>
  </si>
  <si>
    <t>Rental - 50% of Kearsarge</t>
  </si>
  <si>
    <t>Meals Tax</t>
  </si>
  <si>
    <t>FY2021</t>
  </si>
  <si>
    <t>Cannabis</t>
  </si>
  <si>
    <t>Transportation Infrastructure</t>
  </si>
  <si>
    <t>Revenue Estimates for FY2021</t>
  </si>
  <si>
    <t>Excess Capacity</t>
  </si>
  <si>
    <t>TOC</t>
  </si>
  <si>
    <t>contractual</t>
  </si>
  <si>
    <t>Res for Excluded Debt</t>
  </si>
  <si>
    <t>CO</t>
  </si>
  <si>
    <t xml:space="preserve">Worst </t>
  </si>
  <si>
    <t>Case</t>
  </si>
  <si>
    <t>Notes</t>
  </si>
  <si>
    <t>I think this is VERY unlikely, and I doubt that it would even drop to $700K as people have to pay exise to renew DL</t>
  </si>
  <si>
    <t>Levy and requirement to pay taxes remains. Delay in payments just means more penalties &amp; interest when paid.</t>
  </si>
  <si>
    <t>I honestly don't see the state reducing this as they should be more concerned with maintaining the economy, even if they have to tap the rainy day fund</t>
  </si>
  <si>
    <t>already shows a 50% reduction from current actuals</t>
  </si>
  <si>
    <t>this assumes we get annual equivalent = lowest qtrly payment</t>
  </si>
  <si>
    <t>already 36% lower than FY19 actual. If people do delay paying RE &amp; PP, this will actually increase</t>
  </si>
  <si>
    <t>people will still be paying for trash removal</t>
  </si>
  <si>
    <t>already low-balled</t>
  </si>
  <si>
    <t>if economy tanks and only get 50% FY19 actuals</t>
  </si>
  <si>
    <t>unlikely to drop</t>
  </si>
  <si>
    <t>zero interest for whole year</t>
  </si>
  <si>
    <t>49k of this is WPCF overhead, rest very unlikely to drop</t>
  </si>
  <si>
    <t>would only drop if school dropped SRO, in which case employee likely to be terminated</t>
  </si>
  <si>
    <t>Assuming this all came to fruition, impact w/b reduction of Free Cash for FY21</t>
  </si>
  <si>
    <t>But to give a worst case, I used FY19's #s</t>
  </si>
  <si>
    <t>Not unlikely to result in a technical revenue deficit (which would have to be raised on FY22 recap), as if things got that bad we'd make spending cuts.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</si>
</sst>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0"/>
      <name val="Times New Roman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10"/>
      <color theme="10"/>
      <name val="Times New Roman"/>
      <family val="1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1" fontId="0" fillId="0" borderId="0" xfId="0" applyNumberFormat="1"/>
    <xf numFmtId="41" fontId="0" fillId="0" borderId="6" xfId="0" applyNumberFormat="1" applyBorder="1"/>
    <xf numFmtId="41" fontId="0" fillId="0" borderId="0" xfId="0" applyNumberFormat="1" applyBorder="1"/>
    <xf numFmtId="41" fontId="0" fillId="0" borderId="8" xfId="0" applyNumberFormat="1" applyBorder="1"/>
    <xf numFmtId="41" fontId="0" fillId="0" borderId="0" xfId="1" applyNumberFormat="1" applyFont="1"/>
    <xf numFmtId="0" fontId="0" fillId="0" borderId="0" xfId="0" applyBorder="1"/>
    <xf numFmtId="41" fontId="2" fillId="0" borderId="0" xfId="0" applyNumberFormat="1" applyFont="1"/>
    <xf numFmtId="0" fontId="5" fillId="0" borderId="0" xfId="2" applyAlignment="1" applyProtection="1"/>
    <xf numFmtId="41" fontId="4" fillId="0" borderId="0" xfId="0" applyNumberFormat="1" applyFont="1" applyFill="1" applyBorder="1"/>
    <xf numFmtId="0" fontId="4" fillId="0" borderId="0" xfId="0" applyFont="1"/>
    <xf numFmtId="41" fontId="4" fillId="0" borderId="0" xfId="0" applyNumberFormat="1" applyFont="1"/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8" xfId="0" applyNumberFormat="1" applyFont="1" applyBorder="1"/>
    <xf numFmtId="41" fontId="4" fillId="0" borderId="0" xfId="0" applyNumberFormat="1" applyFont="1" applyBorder="1"/>
    <xf numFmtId="41" fontId="4" fillId="0" borderId="7" xfId="0" applyNumberFormat="1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1" xfId="0" applyFont="1" applyBorder="1"/>
    <xf numFmtId="10" fontId="4" fillId="0" borderId="0" xfId="0" applyNumberFormat="1" applyFont="1" applyBorder="1"/>
    <xf numFmtId="14" fontId="4" fillId="0" borderId="0" xfId="0" applyNumberFormat="1" applyFont="1" applyAlignment="1">
      <alignment horizontal="center"/>
    </xf>
    <xf numFmtId="0" fontId="6" fillId="0" borderId="0" xfId="0" applyFont="1"/>
    <xf numFmtId="41" fontId="4" fillId="0" borderId="0" xfId="0" applyNumberFormat="1" applyFont="1" applyFill="1"/>
    <xf numFmtId="10" fontId="4" fillId="0" borderId="0" xfId="0" applyNumberFormat="1" applyFont="1" applyAlignment="1">
      <alignment horizontal="left"/>
    </xf>
    <xf numFmtId="41" fontId="4" fillId="0" borderId="6" xfId="0" applyNumberFormat="1" applyFont="1" applyBorder="1"/>
    <xf numFmtId="41" fontId="4" fillId="0" borderId="6" xfId="0" applyNumberFormat="1" applyFont="1" applyFill="1" applyBorder="1"/>
    <xf numFmtId="41" fontId="4" fillId="0" borderId="0" xfId="0" applyNumberFormat="1" applyFont="1" applyFill="1" applyBorder="1" applyAlignment="1">
      <alignment horizontal="center"/>
    </xf>
    <xf numFmtId="41" fontId="4" fillId="0" borderId="0" xfId="3" applyNumberFormat="1" applyFont="1"/>
    <xf numFmtId="41" fontId="4" fillId="0" borderId="8" xfId="0" applyNumberFormat="1" applyFont="1" applyFill="1" applyBorder="1"/>
    <xf numFmtId="41" fontId="4" fillId="0" borderId="7" xfId="0" applyNumberFormat="1" applyFont="1" applyFill="1" applyBorder="1"/>
    <xf numFmtId="0" fontId="6" fillId="0" borderId="0" xfId="0" applyFont="1" applyBorder="1"/>
    <xf numFmtId="41" fontId="4" fillId="0" borderId="12" xfId="0" applyNumberFormat="1" applyFont="1" applyBorder="1"/>
    <xf numFmtId="41" fontId="4" fillId="0" borderId="10" xfId="0" applyNumberFormat="1" applyFont="1" applyBorder="1"/>
    <xf numFmtId="41" fontId="4" fillId="0" borderId="9" xfId="0" applyNumberFormat="1" applyFont="1" applyBorder="1"/>
    <xf numFmtId="41" fontId="4" fillId="0" borderId="4" xfId="0" applyNumberFormat="1" applyFont="1" applyBorder="1"/>
    <xf numFmtId="41" fontId="4" fillId="0" borderId="2" xfId="0" applyNumberFormat="1" applyFont="1" applyBorder="1"/>
    <xf numFmtId="41" fontId="4" fillId="0" borderId="3" xfId="0" applyNumberFormat="1" applyFont="1" applyBorder="1"/>
    <xf numFmtId="0" fontId="3" fillId="0" borderId="0" xfId="0" applyFont="1" applyAlignment="1">
      <alignment horizontal="left" vertical="center" wrapText="1"/>
    </xf>
    <xf numFmtId="41" fontId="4" fillId="0" borderId="0" xfId="3" applyNumberFormat="1" applyFont="1" applyBorder="1"/>
    <xf numFmtId="41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41" fontId="4" fillId="0" borderId="0" xfId="1" applyNumberFormat="1" applyFont="1" applyAlignment="1">
      <alignment horizontal="center"/>
    </xf>
    <xf numFmtId="41" fontId="4" fillId="0" borderId="0" xfId="1" applyNumberFormat="1" applyFont="1"/>
    <xf numFmtId="41" fontId="4" fillId="0" borderId="0" xfId="1" applyNumberFormat="1" applyFont="1" applyBorder="1"/>
    <xf numFmtId="41" fontId="4" fillId="0" borderId="8" xfId="1" applyNumberFormat="1" applyFont="1" applyBorder="1"/>
  </cellXfs>
  <cellStyles count="6">
    <cellStyle name="Comma" xfId="1" builtinId="3"/>
    <cellStyle name="Comma 2" xfId="5"/>
    <cellStyle name="Hyperlink" xfId="2" builtinId="8"/>
    <cellStyle name="Normal" xfId="0" builtinId="0"/>
    <cellStyle name="Normal 2 2" xfId="4"/>
    <cellStyle name="Percent" xfId="3" builtinId="5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7"/>
  <sheetViews>
    <sheetView tabSelected="1" zoomScale="75" zoomScaleNormal="75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D68" sqref="D68"/>
    </sheetView>
  </sheetViews>
  <sheetFormatPr defaultRowHeight="12.75" x14ac:dyDescent="0.2"/>
  <cols>
    <col min="1" max="1" width="40" customWidth="1"/>
    <col min="2" max="6" width="18.83203125" style="1" customWidth="1"/>
    <col min="7" max="11" width="16.6640625" style="1" customWidth="1"/>
    <col min="12" max="12" width="18.33203125" style="5" customWidth="1"/>
    <col min="13" max="13" width="15.1640625" style="6" bestFit="1" customWidth="1"/>
    <col min="14" max="14" width="10.5" style="6" bestFit="1" customWidth="1"/>
    <col min="15" max="15" width="45.5" customWidth="1"/>
    <col min="16" max="18" width="16.33203125" customWidth="1"/>
  </cols>
  <sheetData>
    <row r="1" spans="1:14" ht="15" x14ac:dyDescent="0.2">
      <c r="A1" s="10" t="s">
        <v>83</v>
      </c>
      <c r="B1" s="13" t="s">
        <v>6</v>
      </c>
      <c r="C1" s="13" t="s">
        <v>49</v>
      </c>
      <c r="D1" s="13" t="s">
        <v>51</v>
      </c>
      <c r="E1" s="13" t="s">
        <v>53</v>
      </c>
      <c r="F1" s="13" t="s">
        <v>55</v>
      </c>
      <c r="G1" s="13" t="s">
        <v>58</v>
      </c>
      <c r="H1" s="13" t="s">
        <v>60</v>
      </c>
      <c r="I1" s="13" t="s">
        <v>68</v>
      </c>
      <c r="J1" s="13" t="s">
        <v>68</v>
      </c>
      <c r="K1" s="13" t="s">
        <v>80</v>
      </c>
      <c r="L1" s="43" t="s">
        <v>80</v>
      </c>
      <c r="M1" s="41"/>
      <c r="N1" s="19"/>
    </row>
    <row r="2" spans="1:14" ht="15" x14ac:dyDescent="0.2">
      <c r="A2" s="8" t="s">
        <v>85</v>
      </c>
      <c r="B2" s="11"/>
      <c r="C2" s="11"/>
      <c r="D2" s="13"/>
      <c r="E2" s="13"/>
      <c r="F2" s="13"/>
      <c r="G2" s="13"/>
      <c r="H2" s="13"/>
      <c r="I2" s="13"/>
      <c r="J2" s="13"/>
      <c r="K2" s="13" t="s">
        <v>66</v>
      </c>
      <c r="L2" s="43" t="s">
        <v>88</v>
      </c>
      <c r="M2" s="19"/>
      <c r="N2" s="19"/>
    </row>
    <row r="3" spans="1:14" ht="15" x14ac:dyDescent="0.2">
      <c r="A3" s="10"/>
      <c r="B3" s="13" t="s">
        <v>3</v>
      </c>
      <c r="C3" s="13" t="s">
        <v>3</v>
      </c>
      <c r="D3" s="13" t="s">
        <v>3</v>
      </c>
      <c r="E3" s="13" t="s">
        <v>3</v>
      </c>
      <c r="F3" s="13" t="s">
        <v>3</v>
      </c>
      <c r="G3" s="12" t="s">
        <v>3</v>
      </c>
      <c r="H3" s="12" t="s">
        <v>3</v>
      </c>
      <c r="I3" s="12" t="s">
        <v>3</v>
      </c>
      <c r="J3" s="22" t="s">
        <v>43</v>
      </c>
      <c r="K3" s="22" t="s">
        <v>43</v>
      </c>
      <c r="L3" s="43" t="s">
        <v>89</v>
      </c>
      <c r="M3" s="19"/>
      <c r="N3" s="19"/>
    </row>
    <row r="4" spans="1:14" ht="15" x14ac:dyDescent="0.2">
      <c r="A4" s="10"/>
      <c r="B4" s="13" t="s">
        <v>41</v>
      </c>
      <c r="C4" s="13" t="s">
        <v>41</v>
      </c>
      <c r="D4" s="13" t="s">
        <v>41</v>
      </c>
      <c r="E4" s="13" t="s">
        <v>41</v>
      </c>
      <c r="F4" s="13" t="s">
        <v>41</v>
      </c>
      <c r="G4" s="12" t="s">
        <v>41</v>
      </c>
      <c r="H4" s="12" t="s">
        <v>41</v>
      </c>
      <c r="I4" s="12" t="s">
        <v>41</v>
      </c>
      <c r="J4" s="22" t="s">
        <v>56</v>
      </c>
      <c r="K4" s="22" t="s">
        <v>56</v>
      </c>
      <c r="L4" s="44" t="s">
        <v>90</v>
      </c>
      <c r="M4" s="19" t="s">
        <v>91</v>
      </c>
      <c r="N4" s="19"/>
    </row>
    <row r="5" spans="1:14" ht="15" x14ac:dyDescent="0.2">
      <c r="A5" s="10"/>
      <c r="B5" s="13"/>
      <c r="C5" s="13"/>
      <c r="D5" s="11"/>
      <c r="E5" s="11"/>
      <c r="F5" s="11"/>
      <c r="G5" s="11"/>
      <c r="H5" s="11"/>
      <c r="I5" s="11"/>
      <c r="J5" s="11"/>
      <c r="K5" s="11"/>
      <c r="L5" s="44"/>
      <c r="M5" s="19"/>
      <c r="N5" s="19"/>
    </row>
    <row r="6" spans="1:14" ht="15" x14ac:dyDescent="0.2">
      <c r="A6" s="10"/>
      <c r="B6" s="13"/>
      <c r="C6" s="13"/>
      <c r="D6" s="11"/>
      <c r="E6" s="11"/>
      <c r="F6" s="11"/>
      <c r="G6" s="13"/>
      <c r="H6" s="11"/>
      <c r="I6" s="11"/>
      <c r="J6" s="11"/>
      <c r="K6" s="11"/>
      <c r="L6" s="44"/>
      <c r="M6" s="19"/>
      <c r="N6" s="19"/>
    </row>
    <row r="7" spans="1:14" ht="15.75" x14ac:dyDescent="0.25">
      <c r="A7" s="23" t="s">
        <v>8</v>
      </c>
      <c r="B7" s="11"/>
      <c r="C7" s="11"/>
      <c r="D7" s="11"/>
      <c r="E7" s="11"/>
      <c r="F7" s="11"/>
      <c r="G7" s="13"/>
      <c r="H7" s="11"/>
      <c r="I7" s="11"/>
      <c r="J7" s="11"/>
      <c r="K7" s="11"/>
      <c r="L7" s="45"/>
      <c r="M7" s="19"/>
      <c r="N7" s="19"/>
    </row>
    <row r="8" spans="1:14" ht="15" x14ac:dyDescent="0.2">
      <c r="A8" s="10" t="s">
        <v>2</v>
      </c>
      <c r="B8" s="15">
        <v>12456970</v>
      </c>
      <c r="C8" s="24">
        <f t="shared" ref="C8:K8" si="0">+B8+B9+B10</f>
        <v>12911745</v>
      </c>
      <c r="D8" s="11">
        <f t="shared" si="0"/>
        <v>13690149</v>
      </c>
      <c r="E8" s="24">
        <f t="shared" si="0"/>
        <v>14144902</v>
      </c>
      <c r="F8" s="11">
        <f t="shared" si="0"/>
        <v>14642844</v>
      </c>
      <c r="G8" s="11">
        <v>15274313</v>
      </c>
      <c r="H8" s="11">
        <f t="shared" si="0"/>
        <v>16267561</v>
      </c>
      <c r="I8" s="11">
        <v>17194323</v>
      </c>
      <c r="J8" s="11">
        <f>+H8+H9+H10-9761</f>
        <v>17184562</v>
      </c>
      <c r="K8" s="11">
        <f t="shared" si="0"/>
        <v>18178839</v>
      </c>
      <c r="L8" s="45">
        <f>+K8</f>
        <v>18178839</v>
      </c>
      <c r="M8" s="19"/>
      <c r="N8" s="19"/>
    </row>
    <row r="9" spans="1:14" ht="15" x14ac:dyDescent="0.2">
      <c r="A9" s="25">
        <v>2.5000000000000001E-2</v>
      </c>
      <c r="B9" s="15">
        <v>311424</v>
      </c>
      <c r="C9" s="24">
        <f t="shared" ref="C9:H9" si="1">ROUND((+C8*0.025),0)</f>
        <v>322794</v>
      </c>
      <c r="D9" s="11">
        <f t="shared" si="1"/>
        <v>342254</v>
      </c>
      <c r="E9" s="24">
        <f t="shared" si="1"/>
        <v>353623</v>
      </c>
      <c r="F9" s="24">
        <f t="shared" si="1"/>
        <v>366071</v>
      </c>
      <c r="G9" s="24">
        <f t="shared" si="1"/>
        <v>381858</v>
      </c>
      <c r="H9" s="24">
        <f t="shared" si="1"/>
        <v>406689</v>
      </c>
      <c r="I9" s="24">
        <f>429614-9761</f>
        <v>419853</v>
      </c>
      <c r="J9" s="24">
        <f>ROUND((+J8*0.025),0)</f>
        <v>429614</v>
      </c>
      <c r="K9" s="24">
        <f>ROUND((+K8*0.025),0)</f>
        <v>454471</v>
      </c>
      <c r="L9" s="45">
        <f>+K9</f>
        <v>454471</v>
      </c>
      <c r="M9" s="19"/>
      <c r="N9" s="19"/>
    </row>
    <row r="10" spans="1:14" ht="15" x14ac:dyDescent="0.2">
      <c r="A10" s="10" t="s">
        <v>9</v>
      </c>
      <c r="B10" s="9">
        <v>143351</v>
      </c>
      <c r="C10" s="24">
        <v>455610</v>
      </c>
      <c r="D10" s="11">
        <v>112499</v>
      </c>
      <c r="E10" s="24">
        <v>144319</v>
      </c>
      <c r="F10" s="24">
        <v>264355</v>
      </c>
      <c r="G10" s="24">
        <v>611390</v>
      </c>
      <c r="H10" s="24">
        <v>520073</v>
      </c>
      <c r="I10" s="24">
        <v>564663</v>
      </c>
      <c r="J10" s="24">
        <v>564663</v>
      </c>
      <c r="K10" s="24">
        <v>250000</v>
      </c>
      <c r="L10" s="45">
        <f>+K10</f>
        <v>250000</v>
      </c>
      <c r="M10" s="19"/>
      <c r="N10" s="19"/>
    </row>
    <row r="11" spans="1:14" ht="15" x14ac:dyDescent="0.2">
      <c r="A11" s="10" t="s">
        <v>10</v>
      </c>
      <c r="B11" s="9">
        <v>713128</v>
      </c>
      <c r="C11" s="24">
        <v>674566</v>
      </c>
      <c r="D11" s="11">
        <v>679626</v>
      </c>
      <c r="E11" s="24">
        <v>677179</v>
      </c>
      <c r="F11" s="24">
        <v>675388</v>
      </c>
      <c r="G11" s="24">
        <v>747324</v>
      </c>
      <c r="H11" s="24">
        <v>742178</v>
      </c>
      <c r="I11" s="24">
        <v>925371</v>
      </c>
      <c r="J11" s="24">
        <v>925371</v>
      </c>
      <c r="K11" s="24">
        <v>1165193</v>
      </c>
      <c r="L11" s="45">
        <f>+K11</f>
        <v>1165193</v>
      </c>
      <c r="M11" s="19"/>
      <c r="N11" s="19"/>
    </row>
    <row r="12" spans="1:14" ht="15" x14ac:dyDescent="0.2">
      <c r="A12" s="10" t="s">
        <v>84</v>
      </c>
      <c r="B12" s="9"/>
      <c r="C12" s="24"/>
      <c r="D12" s="11"/>
      <c r="E12" s="24"/>
      <c r="F12" s="24"/>
      <c r="G12" s="24"/>
      <c r="H12" s="24"/>
      <c r="I12" s="24"/>
      <c r="J12" s="24">
        <v>-300000</v>
      </c>
      <c r="K12" s="24">
        <v>-300000</v>
      </c>
      <c r="L12" s="45">
        <f>+K12</f>
        <v>-300000</v>
      </c>
      <c r="M12" s="19"/>
      <c r="N12" s="19"/>
    </row>
    <row r="13" spans="1:14" ht="15" x14ac:dyDescent="0.2">
      <c r="A13" s="10" t="s">
        <v>15</v>
      </c>
      <c r="B13" s="26">
        <f t="shared" ref="B13:I13" si="2">SUM(B8:B11)</f>
        <v>13624873</v>
      </c>
      <c r="C13" s="27">
        <f t="shared" si="2"/>
        <v>14364715</v>
      </c>
      <c r="D13" s="26">
        <f t="shared" si="2"/>
        <v>14824528</v>
      </c>
      <c r="E13" s="27">
        <f t="shared" si="2"/>
        <v>15320023</v>
      </c>
      <c r="F13" s="27">
        <f t="shared" si="2"/>
        <v>15948658</v>
      </c>
      <c r="G13" s="27">
        <f>SUM(G8:G11)</f>
        <v>17014885</v>
      </c>
      <c r="H13" s="27">
        <f t="shared" si="2"/>
        <v>17936501</v>
      </c>
      <c r="I13" s="27">
        <f t="shared" si="2"/>
        <v>19104210</v>
      </c>
      <c r="J13" s="27">
        <f>SUM(J8:J12)</f>
        <v>18804210</v>
      </c>
      <c r="K13" s="27">
        <f>SUM(K8:K12)</f>
        <v>19748503</v>
      </c>
      <c r="L13" s="27">
        <f>SUM(L8:L12)</f>
        <v>19748503</v>
      </c>
      <c r="M13" s="15"/>
      <c r="N13" s="19"/>
    </row>
    <row r="14" spans="1:14" ht="15" x14ac:dyDescent="0.2">
      <c r="A14" s="10"/>
      <c r="B14" s="11"/>
      <c r="C14" s="24"/>
      <c r="D14" s="11"/>
      <c r="E14" s="24"/>
      <c r="F14" s="24"/>
      <c r="G14" s="24"/>
      <c r="H14" s="24"/>
      <c r="I14" s="24"/>
      <c r="J14" s="24"/>
      <c r="K14" s="24"/>
      <c r="L14" s="24"/>
      <c r="M14" s="19"/>
      <c r="N14" s="19"/>
    </row>
    <row r="15" spans="1:14" ht="15" x14ac:dyDescent="0.2">
      <c r="A15" s="10" t="s">
        <v>39</v>
      </c>
      <c r="B15" s="15">
        <v>-123306</v>
      </c>
      <c r="C15" s="9">
        <v>-357654</v>
      </c>
      <c r="D15" s="15">
        <v>-400065</v>
      </c>
      <c r="E15" s="9">
        <v>-406881</v>
      </c>
      <c r="F15" s="9">
        <v>-450000</v>
      </c>
      <c r="G15" s="9">
        <v>-487971.03</v>
      </c>
      <c r="H15" s="9">
        <v>-424470</v>
      </c>
      <c r="I15" s="9">
        <v>-133913</v>
      </c>
      <c r="J15" s="9">
        <v>-450000</v>
      </c>
      <c r="K15" s="9">
        <v>-150000</v>
      </c>
      <c r="L15" s="9">
        <v>-150000</v>
      </c>
      <c r="M15" s="19"/>
      <c r="N15" s="19"/>
    </row>
    <row r="16" spans="1:14" ht="15" x14ac:dyDescent="0.2">
      <c r="A16" s="10" t="s">
        <v>18</v>
      </c>
      <c r="B16" s="26">
        <f t="shared" ref="B16:I16" si="3">SUM(B13:B15)</f>
        <v>13501567</v>
      </c>
      <c r="C16" s="27">
        <f t="shared" si="3"/>
        <v>14007061</v>
      </c>
      <c r="D16" s="26">
        <f t="shared" si="3"/>
        <v>14424463</v>
      </c>
      <c r="E16" s="27">
        <f t="shared" si="3"/>
        <v>14913142</v>
      </c>
      <c r="F16" s="27">
        <f t="shared" si="3"/>
        <v>15498658</v>
      </c>
      <c r="G16" s="27">
        <f>SUM(G13:G15)</f>
        <v>16526913.970000001</v>
      </c>
      <c r="H16" s="27">
        <f t="shared" si="3"/>
        <v>17512031</v>
      </c>
      <c r="I16" s="27">
        <f t="shared" si="3"/>
        <v>18970297</v>
      </c>
      <c r="J16" s="27">
        <f>SUM(J13:J15)</f>
        <v>18354210</v>
      </c>
      <c r="K16" s="27">
        <f>SUM(K13:K15)</f>
        <v>19598503</v>
      </c>
      <c r="L16" s="27">
        <f>SUM(L13:L15)</f>
        <v>19598503</v>
      </c>
      <c r="M16" s="15" t="s">
        <v>93</v>
      </c>
      <c r="N16" s="19"/>
    </row>
    <row r="17" spans="1:18" ht="15" x14ac:dyDescent="0.2">
      <c r="A17" s="10"/>
      <c r="B17" s="11"/>
      <c r="C17" s="24"/>
      <c r="D17" s="11"/>
      <c r="E17" s="24"/>
      <c r="F17" s="24"/>
      <c r="G17" s="24"/>
      <c r="H17" s="24"/>
      <c r="I17" s="24"/>
      <c r="J17" s="24"/>
      <c r="K17" s="24"/>
      <c r="L17" s="45"/>
      <c r="M17" s="19"/>
      <c r="N17" s="19"/>
    </row>
    <row r="18" spans="1:18" ht="15.75" x14ac:dyDescent="0.25">
      <c r="A18" s="23" t="s">
        <v>13</v>
      </c>
      <c r="B18" s="13" t="s">
        <v>41</v>
      </c>
      <c r="C18" s="12" t="s">
        <v>41</v>
      </c>
      <c r="D18" s="13" t="s">
        <v>3</v>
      </c>
      <c r="E18" s="12" t="s">
        <v>41</v>
      </c>
      <c r="F18" s="12" t="s">
        <v>4</v>
      </c>
      <c r="G18" s="12" t="s">
        <v>4</v>
      </c>
      <c r="H18" s="12" t="s">
        <v>4</v>
      </c>
      <c r="I18" s="12"/>
      <c r="J18" s="12" t="s">
        <v>4</v>
      </c>
      <c r="K18" s="12" t="s">
        <v>4</v>
      </c>
      <c r="L18" s="45"/>
      <c r="M18" s="28"/>
      <c r="N18" s="19"/>
      <c r="O18" s="6"/>
    </row>
    <row r="19" spans="1:18" ht="15" x14ac:dyDescent="0.2">
      <c r="A19" s="10" t="s">
        <v>50</v>
      </c>
      <c r="B19" s="11">
        <v>1212188</v>
      </c>
      <c r="C19" s="24">
        <v>1240842</v>
      </c>
      <c r="D19" s="24">
        <v>1275253</v>
      </c>
      <c r="E19" s="24">
        <v>1321162</v>
      </c>
      <c r="F19" s="24">
        <v>1377972</v>
      </c>
      <c r="G19" s="24">
        <v>1431713</v>
      </c>
      <c r="H19" s="29">
        <v>1481823</v>
      </c>
      <c r="I19" s="29">
        <v>1521832</v>
      </c>
      <c r="J19" s="29">
        <f>ROUND((+H19*1.027),0)</f>
        <v>1521832</v>
      </c>
      <c r="K19" s="40">
        <v>1564443</v>
      </c>
      <c r="L19" s="29">
        <v>1481823</v>
      </c>
      <c r="M19" s="40" t="s">
        <v>94</v>
      </c>
      <c r="N19" s="19"/>
      <c r="O19" s="6"/>
    </row>
    <row r="20" spans="1:18" ht="15" x14ac:dyDescent="0.2">
      <c r="A20" s="10" t="s">
        <v>11</v>
      </c>
      <c r="B20" s="11">
        <v>86490</v>
      </c>
      <c r="C20" s="24">
        <v>91061</v>
      </c>
      <c r="D20" s="15">
        <v>146453</v>
      </c>
      <c r="E20" s="9">
        <v>117247</v>
      </c>
      <c r="F20" s="24">
        <v>118213</v>
      </c>
      <c r="G20" s="24">
        <v>97743</v>
      </c>
      <c r="H20" s="29">
        <v>60443</v>
      </c>
      <c r="I20" s="29">
        <v>104740</v>
      </c>
      <c r="J20" s="29">
        <v>60443</v>
      </c>
      <c r="K20" s="40">
        <v>57632</v>
      </c>
      <c r="L20" s="29">
        <v>60443</v>
      </c>
      <c r="M20" s="40" t="s">
        <v>106</v>
      </c>
      <c r="N20" s="19"/>
      <c r="O20" s="6"/>
    </row>
    <row r="21" spans="1:18" ht="15" x14ac:dyDescent="0.2">
      <c r="A21" s="10" t="s">
        <v>44</v>
      </c>
      <c r="B21" s="11">
        <v>38679</v>
      </c>
      <c r="C21" s="24">
        <v>38857</v>
      </c>
      <c r="D21" s="15">
        <v>37727</v>
      </c>
      <c r="E21" s="9">
        <v>37727</v>
      </c>
      <c r="F21" s="24">
        <v>38973</v>
      </c>
      <c r="G21" s="24">
        <v>37382</v>
      </c>
      <c r="H21" s="29">
        <v>38594</v>
      </c>
      <c r="I21" s="29">
        <v>35811</v>
      </c>
      <c r="J21" s="29">
        <v>38594</v>
      </c>
      <c r="K21" s="40">
        <v>48208</v>
      </c>
      <c r="L21" s="29">
        <v>38594</v>
      </c>
      <c r="M21" s="40"/>
      <c r="N21" s="19"/>
      <c r="O21" s="6"/>
    </row>
    <row r="22" spans="1:18" ht="15" x14ac:dyDescent="0.2">
      <c r="A22" s="10" t="s">
        <v>12</v>
      </c>
      <c r="B22" s="11">
        <v>120375</v>
      </c>
      <c r="C22" s="24">
        <v>122756</v>
      </c>
      <c r="D22" s="15">
        <v>142331</v>
      </c>
      <c r="E22" s="9">
        <v>142331</v>
      </c>
      <c r="F22" s="24">
        <v>147574</v>
      </c>
      <c r="G22" s="24">
        <v>147574</v>
      </c>
      <c r="H22" s="29">
        <v>192222</v>
      </c>
      <c r="I22" s="29">
        <v>221320</v>
      </c>
      <c r="J22" s="29">
        <v>192222</v>
      </c>
      <c r="K22" s="40">
        <v>220146</v>
      </c>
      <c r="L22" s="29">
        <v>192222</v>
      </c>
      <c r="M22" s="40"/>
      <c r="N22" s="15"/>
      <c r="O22" s="6"/>
    </row>
    <row r="23" spans="1:18" ht="15" x14ac:dyDescent="0.2">
      <c r="A23" s="10" t="s">
        <v>37</v>
      </c>
      <c r="B23" s="11">
        <v>11227</v>
      </c>
      <c r="C23" s="24">
        <v>11276</v>
      </c>
      <c r="D23" s="24">
        <v>13751</v>
      </c>
      <c r="E23" s="24">
        <v>12843</v>
      </c>
      <c r="F23" s="24">
        <v>12893</v>
      </c>
      <c r="G23" s="24">
        <v>13611</v>
      </c>
      <c r="H23" s="29">
        <v>14094</v>
      </c>
      <c r="I23" s="29">
        <v>14470</v>
      </c>
      <c r="J23" s="29">
        <v>14094</v>
      </c>
      <c r="K23" s="29">
        <v>14161</v>
      </c>
      <c r="L23" s="29">
        <v>14094</v>
      </c>
      <c r="M23" s="40"/>
      <c r="N23" s="19"/>
      <c r="O23" s="6"/>
    </row>
    <row r="24" spans="1:18" ht="15" x14ac:dyDescent="0.2">
      <c r="A24" s="10" t="s">
        <v>14</v>
      </c>
      <c r="B24" s="14">
        <f t="shared" ref="B24:G24" si="4">-B23</f>
        <v>-11227</v>
      </c>
      <c r="C24" s="30">
        <f t="shared" si="4"/>
        <v>-11276</v>
      </c>
      <c r="D24" s="30">
        <f t="shared" si="4"/>
        <v>-13751</v>
      </c>
      <c r="E24" s="30">
        <f t="shared" si="4"/>
        <v>-12843</v>
      </c>
      <c r="F24" s="30">
        <f t="shared" si="4"/>
        <v>-12893</v>
      </c>
      <c r="G24" s="30">
        <f t="shared" si="4"/>
        <v>-13611</v>
      </c>
      <c r="H24" s="29">
        <v>-14094</v>
      </c>
      <c r="I24" s="29">
        <f>-I23</f>
        <v>-14470</v>
      </c>
      <c r="J24" s="29">
        <f>-J23</f>
        <v>-14094</v>
      </c>
      <c r="K24" s="29">
        <f>-K23</f>
        <v>-14161</v>
      </c>
      <c r="L24" s="29">
        <v>-14094</v>
      </c>
      <c r="M24" s="40"/>
      <c r="N24" s="19"/>
      <c r="O24" s="6"/>
    </row>
    <row r="25" spans="1:18" ht="15" x14ac:dyDescent="0.2">
      <c r="A25" s="10" t="s">
        <v>16</v>
      </c>
      <c r="B25" s="26">
        <f t="shared" ref="B25:F25" si="5">SUM(B19:B24)</f>
        <v>1457732</v>
      </c>
      <c r="C25" s="27">
        <f t="shared" si="5"/>
        <v>1493516</v>
      </c>
      <c r="D25" s="26">
        <f t="shared" si="5"/>
        <v>1601764</v>
      </c>
      <c r="E25" s="27">
        <f t="shared" si="5"/>
        <v>1618467</v>
      </c>
      <c r="F25" s="26">
        <f t="shared" si="5"/>
        <v>1682732</v>
      </c>
      <c r="G25" s="26">
        <f>SUM(G19:G24)</f>
        <v>1714412</v>
      </c>
      <c r="H25" s="26">
        <f>SUM(H19:H24)</f>
        <v>1773082</v>
      </c>
      <c r="I25" s="26">
        <f>SUM(I19:I24)</f>
        <v>1883703</v>
      </c>
      <c r="J25" s="26">
        <f>SUM(J19:J24)</f>
        <v>1813091</v>
      </c>
      <c r="K25" s="26">
        <f>SUM(K19:K24)</f>
        <v>1890429</v>
      </c>
      <c r="L25" s="26">
        <f>SUM(L19:L24)</f>
        <v>1773082</v>
      </c>
      <c r="M25" s="15"/>
      <c r="N25" s="19"/>
      <c r="O25" s="6"/>
    </row>
    <row r="26" spans="1:18" ht="15" x14ac:dyDescent="0.2">
      <c r="A26" s="10"/>
      <c r="B26" s="11"/>
      <c r="C26" s="24"/>
      <c r="D26" s="11"/>
      <c r="E26" s="24"/>
      <c r="F26" s="11"/>
      <c r="G26" s="11"/>
      <c r="H26" s="10"/>
      <c r="I26" s="10"/>
      <c r="J26" s="10"/>
      <c r="K26" s="10"/>
      <c r="L26" s="10"/>
      <c r="M26" s="19"/>
      <c r="N26" s="19"/>
      <c r="O26" s="6"/>
    </row>
    <row r="27" spans="1:18" ht="15" x14ac:dyDescent="0.2">
      <c r="A27" s="10" t="s">
        <v>52</v>
      </c>
      <c r="B27" s="11">
        <v>-85115</v>
      </c>
      <c r="C27" s="24">
        <v>-75855</v>
      </c>
      <c r="D27" s="11">
        <v>-74473</v>
      </c>
      <c r="E27" s="24">
        <v>-75976</v>
      </c>
      <c r="F27" s="30">
        <v>-98020</v>
      </c>
      <c r="G27" s="30">
        <v>-100906</v>
      </c>
      <c r="H27" s="9">
        <v>-97873</v>
      </c>
      <c r="I27" s="9">
        <v>-91871</v>
      </c>
      <c r="J27" s="9">
        <v>-97873</v>
      </c>
      <c r="K27" s="9">
        <v>-94593</v>
      </c>
      <c r="L27" s="9">
        <v>-97873</v>
      </c>
      <c r="M27" s="9"/>
      <c r="N27" s="19"/>
      <c r="O27" s="6"/>
    </row>
    <row r="28" spans="1:18" ht="15" x14ac:dyDescent="0.2">
      <c r="A28" s="10" t="s">
        <v>17</v>
      </c>
      <c r="B28" s="26">
        <f t="shared" ref="B28:F28" si="6">+B25+B27</f>
        <v>1372617</v>
      </c>
      <c r="C28" s="27">
        <f t="shared" si="6"/>
        <v>1417661</v>
      </c>
      <c r="D28" s="26">
        <f t="shared" si="6"/>
        <v>1527291</v>
      </c>
      <c r="E28" s="27">
        <f t="shared" si="6"/>
        <v>1542491</v>
      </c>
      <c r="F28" s="26">
        <f t="shared" si="6"/>
        <v>1584712</v>
      </c>
      <c r="G28" s="26">
        <f>+G25+G27</f>
        <v>1613506</v>
      </c>
      <c r="H28" s="26">
        <f>+H25+H27</f>
        <v>1675209</v>
      </c>
      <c r="I28" s="26">
        <f>+I25+I27</f>
        <v>1791832</v>
      </c>
      <c r="J28" s="26">
        <f>+J25+J27</f>
        <v>1715218</v>
      </c>
      <c r="K28" s="26">
        <f>+K25+K27</f>
        <v>1795836</v>
      </c>
      <c r="L28" s="26">
        <f>+L25+L27</f>
        <v>1675209</v>
      </c>
      <c r="M28" s="15"/>
      <c r="N28" s="19"/>
      <c r="O28" s="6"/>
    </row>
    <row r="29" spans="1:18" ht="15" x14ac:dyDescent="0.2">
      <c r="A29" s="10"/>
      <c r="B29" s="15"/>
      <c r="C29" s="9"/>
      <c r="D29" s="15"/>
      <c r="E29" s="9"/>
      <c r="F29" s="15"/>
      <c r="G29" s="15"/>
      <c r="H29" s="15"/>
      <c r="I29" s="15"/>
      <c r="J29" s="15"/>
      <c r="K29" s="15"/>
      <c r="L29" s="44"/>
      <c r="M29" s="15"/>
      <c r="N29" s="19"/>
      <c r="O29" s="6"/>
    </row>
    <row r="30" spans="1:18" ht="15" x14ac:dyDescent="0.2">
      <c r="A30" s="11"/>
      <c r="B30" s="11"/>
      <c r="C30" s="11"/>
      <c r="D30" s="11"/>
      <c r="E30" s="24"/>
      <c r="F30" s="11"/>
      <c r="G30" s="11"/>
      <c r="H30" s="11"/>
      <c r="I30" s="11"/>
      <c r="J30" s="11"/>
      <c r="K30" s="11"/>
      <c r="L30" s="44"/>
      <c r="M30" s="19"/>
      <c r="N30" s="19"/>
    </row>
    <row r="31" spans="1:18" ht="15" x14ac:dyDescent="0.2">
      <c r="A31" s="10"/>
      <c r="B31" s="13" t="s">
        <v>6</v>
      </c>
      <c r="C31" s="13" t="s">
        <v>49</v>
      </c>
      <c r="D31" s="13" t="s">
        <v>51</v>
      </c>
      <c r="E31" s="13" t="s">
        <v>53</v>
      </c>
      <c r="F31" s="11" t="s">
        <v>55</v>
      </c>
      <c r="G31" s="11" t="s">
        <v>58</v>
      </c>
      <c r="H31" s="11" t="s">
        <v>60</v>
      </c>
      <c r="I31" s="11"/>
      <c r="J31" s="13" t="s">
        <v>68</v>
      </c>
      <c r="K31" s="13" t="s">
        <v>80</v>
      </c>
      <c r="L31" s="44"/>
      <c r="M31" s="19"/>
      <c r="N31" s="19"/>
      <c r="O31" s="19"/>
      <c r="P31" s="15"/>
      <c r="Q31" s="15"/>
      <c r="R31" s="41"/>
    </row>
    <row r="32" spans="1:18" ht="15.75" x14ac:dyDescent="0.25">
      <c r="A32" s="23" t="s">
        <v>19</v>
      </c>
      <c r="B32" s="13" t="s">
        <v>0</v>
      </c>
      <c r="C32" s="13" t="s">
        <v>0</v>
      </c>
      <c r="D32" s="13" t="s">
        <v>0</v>
      </c>
      <c r="E32" s="12" t="s">
        <v>0</v>
      </c>
      <c r="F32" s="12" t="s">
        <v>0</v>
      </c>
      <c r="G32" s="13" t="s">
        <v>0</v>
      </c>
      <c r="H32" s="13" t="s">
        <v>0</v>
      </c>
      <c r="I32" s="13"/>
      <c r="J32" s="13" t="s">
        <v>40</v>
      </c>
      <c r="K32" s="13" t="s">
        <v>40</v>
      </c>
      <c r="L32" s="44"/>
      <c r="M32" s="19"/>
      <c r="N32" s="19"/>
      <c r="O32" s="32"/>
      <c r="P32" s="41"/>
      <c r="Q32" s="41"/>
      <c r="R32" s="41"/>
    </row>
    <row r="33" spans="1:18" ht="15" x14ac:dyDescent="0.2">
      <c r="A33" s="10" t="s">
        <v>20</v>
      </c>
      <c r="B33" s="24">
        <v>658373</v>
      </c>
      <c r="C33" s="24">
        <v>702847</v>
      </c>
      <c r="D33" s="24">
        <v>713101</v>
      </c>
      <c r="E33" s="24">
        <v>655337</v>
      </c>
      <c r="F33" s="24">
        <v>731218</v>
      </c>
      <c r="G33" s="24">
        <v>829212</v>
      </c>
      <c r="H33" s="24">
        <v>821525</v>
      </c>
      <c r="I33" s="24">
        <v>346037</v>
      </c>
      <c r="J33" s="24">
        <v>725000</v>
      </c>
      <c r="K33" s="24">
        <v>700000</v>
      </c>
      <c r="L33" s="44">
        <v>658000</v>
      </c>
      <c r="M33" s="21" t="s">
        <v>92</v>
      </c>
      <c r="N33" s="19"/>
      <c r="O33" s="19"/>
      <c r="P33" s="9"/>
      <c r="Q33" s="9"/>
      <c r="R33" s="9"/>
    </row>
    <row r="34" spans="1:18" ht="15" x14ac:dyDescent="0.2">
      <c r="A34" s="10" t="s">
        <v>21</v>
      </c>
      <c r="B34" s="24">
        <v>1511</v>
      </c>
      <c r="C34" s="24">
        <v>1598</v>
      </c>
      <c r="D34" s="24">
        <v>1718</v>
      </c>
      <c r="E34" s="24">
        <v>1000</v>
      </c>
      <c r="F34" s="24">
        <v>1951</v>
      </c>
      <c r="G34" s="24">
        <v>1376</v>
      </c>
      <c r="H34" s="24">
        <v>1816</v>
      </c>
      <c r="I34" s="24">
        <v>1000</v>
      </c>
      <c r="J34" s="24">
        <v>1000</v>
      </c>
      <c r="K34" s="24">
        <v>1000</v>
      </c>
      <c r="L34" s="44">
        <v>1000</v>
      </c>
      <c r="M34" s="21" t="s">
        <v>95</v>
      </c>
      <c r="N34" s="19"/>
      <c r="O34" s="19"/>
      <c r="P34" s="9"/>
      <c r="Q34" s="9"/>
      <c r="R34" s="9"/>
    </row>
    <row r="35" spans="1:18" ht="15" x14ac:dyDescent="0.2">
      <c r="A35" s="10" t="s">
        <v>79</v>
      </c>
      <c r="B35" s="24"/>
      <c r="C35" s="24"/>
      <c r="D35" s="24"/>
      <c r="E35" s="24"/>
      <c r="F35" s="24"/>
      <c r="G35" s="24"/>
      <c r="H35" s="24">
        <v>53850</v>
      </c>
      <c r="I35" s="24">
        <v>30000</v>
      </c>
      <c r="J35" s="24">
        <v>30000</v>
      </c>
      <c r="K35" s="24">
        <v>55000</v>
      </c>
      <c r="L35" s="44">
        <v>15000</v>
      </c>
      <c r="M35" s="21" t="s">
        <v>96</v>
      </c>
      <c r="N35" s="19"/>
      <c r="O35" s="19"/>
      <c r="P35" s="9"/>
      <c r="Q35" s="9"/>
      <c r="R35" s="9"/>
    </row>
    <row r="36" spans="1:18" ht="15" x14ac:dyDescent="0.2">
      <c r="A36" s="10" t="s">
        <v>81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44"/>
      <c r="M36" s="21"/>
      <c r="N36" s="19"/>
      <c r="O36" s="19"/>
      <c r="P36" s="9"/>
      <c r="Q36" s="9"/>
      <c r="R36" s="9"/>
    </row>
    <row r="37" spans="1:18" ht="15" x14ac:dyDescent="0.2">
      <c r="A37" s="10" t="s">
        <v>29</v>
      </c>
      <c r="B37" s="24">
        <v>126219</v>
      </c>
      <c r="C37" s="24">
        <v>109239</v>
      </c>
      <c r="D37" s="24">
        <v>114129</v>
      </c>
      <c r="E37" s="24">
        <v>96000</v>
      </c>
      <c r="F37" s="24">
        <v>123780</v>
      </c>
      <c r="G37" s="24">
        <v>177628</v>
      </c>
      <c r="H37" s="24">
        <v>154148</v>
      </c>
      <c r="I37" s="24">
        <v>101000</v>
      </c>
      <c r="J37" s="24">
        <v>101000</v>
      </c>
      <c r="K37" s="24">
        <v>118000</v>
      </c>
      <c r="L37" s="44">
        <v>118000</v>
      </c>
      <c r="M37" s="21" t="s">
        <v>97</v>
      </c>
      <c r="N37" s="19"/>
      <c r="O37" s="19"/>
      <c r="P37" s="9"/>
      <c r="Q37" s="9"/>
      <c r="R37" s="9"/>
    </row>
    <row r="38" spans="1:18" ht="15" x14ac:dyDescent="0.2">
      <c r="A38" s="10" t="s">
        <v>22</v>
      </c>
      <c r="B38" s="24">
        <v>6840</v>
      </c>
      <c r="C38" s="24">
        <v>6192</v>
      </c>
      <c r="D38" s="24">
        <v>7392</v>
      </c>
      <c r="E38" s="24">
        <v>6500</v>
      </c>
      <c r="F38" s="24">
        <v>6576</v>
      </c>
      <c r="G38" s="24">
        <v>5388</v>
      </c>
      <c r="H38" s="24">
        <v>15040</v>
      </c>
      <c r="I38" s="24">
        <v>5000</v>
      </c>
      <c r="J38" s="24">
        <v>5000</v>
      </c>
      <c r="K38" s="24">
        <v>15000</v>
      </c>
      <c r="L38" s="44">
        <v>15000</v>
      </c>
      <c r="M38" s="21" t="s">
        <v>86</v>
      </c>
      <c r="N38" s="19"/>
      <c r="O38" s="19"/>
      <c r="P38" s="9"/>
      <c r="Q38" s="9"/>
      <c r="R38" s="9"/>
    </row>
    <row r="39" spans="1:18" ht="15" x14ac:dyDescent="0.2">
      <c r="A39" s="10" t="s">
        <v>23</v>
      </c>
      <c r="B39" s="24">
        <v>228738</v>
      </c>
      <c r="C39" s="24">
        <v>233722</v>
      </c>
      <c r="D39" s="24">
        <v>234878</v>
      </c>
      <c r="E39" s="24">
        <v>224500</v>
      </c>
      <c r="F39" s="24">
        <v>237475</v>
      </c>
      <c r="G39" s="24">
        <v>249708</v>
      </c>
      <c r="H39" s="24">
        <v>248504</v>
      </c>
      <c r="I39" s="24">
        <v>233000</v>
      </c>
      <c r="J39" s="24">
        <v>233000</v>
      </c>
      <c r="K39" s="24">
        <v>238000</v>
      </c>
      <c r="L39" s="44">
        <v>220000</v>
      </c>
      <c r="M39" s="21" t="s">
        <v>98</v>
      </c>
      <c r="N39" s="19"/>
      <c r="O39" s="19"/>
      <c r="P39" s="9"/>
      <c r="Q39" s="9"/>
      <c r="R39" s="9"/>
    </row>
    <row r="40" spans="1:18" ht="15" x14ac:dyDescent="0.2">
      <c r="A40" s="10" t="s">
        <v>78</v>
      </c>
      <c r="B40" s="24"/>
      <c r="C40" s="24"/>
      <c r="D40" s="24"/>
      <c r="E40" s="24"/>
      <c r="F40" s="24"/>
      <c r="G40" s="24">
        <v>45050</v>
      </c>
      <c r="H40" s="24">
        <v>77961</v>
      </c>
      <c r="I40" s="24">
        <v>79364</v>
      </c>
      <c r="J40" s="24">
        <f>+J83</f>
        <v>79396</v>
      </c>
      <c r="K40" s="24">
        <v>80793</v>
      </c>
      <c r="L40" s="44">
        <v>80793</v>
      </c>
      <c r="M40" s="21" t="s">
        <v>86</v>
      </c>
      <c r="N40" s="19"/>
      <c r="O40" s="19"/>
      <c r="P40" s="9"/>
      <c r="Q40" s="9"/>
      <c r="R40" s="9"/>
    </row>
    <row r="41" spans="1:18" ht="15" x14ac:dyDescent="0.2">
      <c r="A41" s="10" t="s">
        <v>38</v>
      </c>
      <c r="B41" s="24">
        <v>66434</v>
      </c>
      <c r="C41" s="24">
        <v>78727</v>
      </c>
      <c r="D41" s="24">
        <v>71981</v>
      </c>
      <c r="E41" s="24">
        <v>53935</v>
      </c>
      <c r="F41" s="24">
        <v>72815</v>
      </c>
      <c r="G41" s="24">
        <v>78459</v>
      </c>
      <c r="H41" s="24">
        <v>85879</v>
      </c>
      <c r="I41" s="24">
        <v>52760</v>
      </c>
      <c r="J41" s="24">
        <v>51760</v>
      </c>
      <c r="K41" s="24">
        <v>59760</v>
      </c>
      <c r="L41" s="44">
        <v>59000</v>
      </c>
      <c r="M41" s="21" t="s">
        <v>99</v>
      </c>
      <c r="N41" s="19"/>
      <c r="O41" s="19"/>
      <c r="P41" s="9"/>
      <c r="Q41" s="9"/>
      <c r="R41" s="9"/>
    </row>
    <row r="42" spans="1:18" ht="15" x14ac:dyDescent="0.2">
      <c r="A42" s="10" t="s">
        <v>24</v>
      </c>
      <c r="B42" s="24">
        <v>121240</v>
      </c>
      <c r="C42" s="24">
        <v>109802</v>
      </c>
      <c r="D42" s="24">
        <v>157799</v>
      </c>
      <c r="E42" s="24">
        <v>121450</v>
      </c>
      <c r="F42" s="24">
        <v>193653</v>
      </c>
      <c r="G42" s="24">
        <v>217448</v>
      </c>
      <c r="H42" s="24">
        <v>184765</v>
      </c>
      <c r="I42" s="24">
        <v>136000</v>
      </c>
      <c r="J42" s="24">
        <v>136000</v>
      </c>
      <c r="K42" s="24">
        <v>149000</v>
      </c>
      <c r="L42" s="44">
        <v>92500</v>
      </c>
      <c r="M42" s="21" t="s">
        <v>100</v>
      </c>
      <c r="N42" s="19"/>
      <c r="O42" s="19"/>
      <c r="P42" s="9"/>
      <c r="Q42" s="9"/>
      <c r="R42" s="9"/>
    </row>
    <row r="43" spans="1:18" ht="15" x14ac:dyDescent="0.2">
      <c r="A43" s="10" t="s">
        <v>25</v>
      </c>
      <c r="B43" s="24">
        <v>32615</v>
      </c>
      <c r="C43" s="24">
        <v>54938</v>
      </c>
      <c r="D43" s="24">
        <v>33091</v>
      </c>
      <c r="E43" s="24">
        <v>20850</v>
      </c>
      <c r="F43" s="24">
        <v>23770</v>
      </c>
      <c r="G43" s="24">
        <v>19235</v>
      </c>
      <c r="H43" s="24">
        <v>25548</v>
      </c>
      <c r="I43" s="24">
        <v>14000</v>
      </c>
      <c r="J43" s="24">
        <v>14000</v>
      </c>
      <c r="K43" s="24">
        <v>19000</v>
      </c>
      <c r="L43" s="44">
        <v>19000</v>
      </c>
      <c r="M43" s="21" t="s">
        <v>101</v>
      </c>
      <c r="N43" s="19"/>
      <c r="O43" s="19"/>
      <c r="P43" s="9"/>
      <c r="Q43" s="9"/>
      <c r="R43" s="9"/>
    </row>
    <row r="44" spans="1:18" ht="15" x14ac:dyDescent="0.2">
      <c r="A44" s="10" t="s">
        <v>26</v>
      </c>
      <c r="B44" s="24">
        <v>5231</v>
      </c>
      <c r="C44" s="24">
        <v>3493</v>
      </c>
      <c r="D44" s="24">
        <v>4386</v>
      </c>
      <c r="E44" s="24">
        <v>3400</v>
      </c>
      <c r="F44" s="24">
        <v>8580</v>
      </c>
      <c r="G44" s="24">
        <v>13002</v>
      </c>
      <c r="H44" s="24">
        <v>28236</v>
      </c>
      <c r="I44" s="24">
        <v>9000</v>
      </c>
      <c r="J44" s="24">
        <v>9000</v>
      </c>
      <c r="K44" s="24">
        <v>9000</v>
      </c>
      <c r="L44" s="44">
        <v>0</v>
      </c>
      <c r="M44" s="21" t="s">
        <v>102</v>
      </c>
      <c r="N44" s="19"/>
      <c r="O44" s="19"/>
      <c r="P44" s="9"/>
      <c r="Q44" s="9"/>
      <c r="R44" s="9"/>
    </row>
    <row r="45" spans="1:18" ht="15" hidden="1" x14ac:dyDescent="0.2">
      <c r="A45" s="10" t="s">
        <v>5</v>
      </c>
      <c r="B45" s="24">
        <v>43790</v>
      </c>
      <c r="C45" s="24">
        <v>40792</v>
      </c>
      <c r="D45" s="24">
        <v>31886</v>
      </c>
      <c r="E45" s="24"/>
      <c r="F45" s="24"/>
      <c r="G45" s="24"/>
      <c r="H45" s="24"/>
      <c r="I45" s="24"/>
      <c r="J45" s="24"/>
      <c r="K45" s="24"/>
      <c r="L45" s="44"/>
      <c r="M45" s="21"/>
      <c r="N45" s="19"/>
      <c r="O45" s="19"/>
      <c r="P45" s="9"/>
      <c r="Q45" s="9"/>
      <c r="R45" s="9"/>
    </row>
    <row r="46" spans="1:18" ht="15" x14ac:dyDescent="0.2">
      <c r="A46" s="10" t="s">
        <v>54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44"/>
      <c r="M46" s="21"/>
      <c r="N46" s="19"/>
      <c r="O46" s="19"/>
      <c r="P46" s="9"/>
      <c r="Q46" s="9"/>
      <c r="R46" s="9"/>
    </row>
    <row r="47" spans="1:18" ht="15" x14ac:dyDescent="0.2">
      <c r="A47" s="10" t="s">
        <v>27</v>
      </c>
      <c r="B47" s="24">
        <f>100676</f>
        <v>100676</v>
      </c>
      <c r="C47" s="24">
        <v>83047</v>
      </c>
      <c r="D47" s="24">
        <f>128245-D45</f>
        <v>96359</v>
      </c>
      <c r="E47" s="24">
        <f>145900</f>
        <v>145900</v>
      </c>
      <c r="F47" s="24">
        <f>151503</f>
        <v>151503</v>
      </c>
      <c r="G47" s="24">
        <f>143197-G52</f>
        <v>96325</v>
      </c>
      <c r="H47" s="24">
        <f>202200-H52-H53</f>
        <v>88144.62</v>
      </c>
      <c r="I47" s="24">
        <f>171500-I52-I53+1</f>
        <v>72477</v>
      </c>
      <c r="J47" s="24">
        <f>171524-J52-J53</f>
        <v>72500</v>
      </c>
      <c r="K47" s="24">
        <f>193554-K52-K53</f>
        <v>69347</v>
      </c>
      <c r="L47" s="44">
        <v>69347</v>
      </c>
      <c r="M47" s="21" t="s">
        <v>103</v>
      </c>
      <c r="N47" s="19"/>
      <c r="O47" s="19"/>
      <c r="P47" s="9"/>
      <c r="Q47" s="9"/>
      <c r="R47" s="9"/>
    </row>
    <row r="48" spans="1:18" ht="15" x14ac:dyDescent="0.2">
      <c r="A48" s="10" t="s">
        <v>28</v>
      </c>
      <c r="B48" s="30">
        <v>65897</v>
      </c>
      <c r="C48" s="30"/>
      <c r="D48" s="30"/>
      <c r="E48" s="30"/>
      <c r="F48" s="30"/>
      <c r="G48" s="30">
        <v>4683</v>
      </c>
      <c r="H48" s="30">
        <v>-54184</v>
      </c>
      <c r="I48" s="30"/>
      <c r="J48" s="30"/>
      <c r="K48" s="30"/>
      <c r="L48" s="46"/>
      <c r="M48" s="19"/>
      <c r="N48" s="19"/>
      <c r="O48" s="19"/>
      <c r="P48" s="9"/>
      <c r="Q48" s="9"/>
      <c r="R48" s="9"/>
    </row>
    <row r="49" spans="1:18" ht="15" x14ac:dyDescent="0.2">
      <c r="A49" s="10" t="s">
        <v>61</v>
      </c>
      <c r="B49" s="26">
        <f t="shared" ref="B49:J49" si="7">SUM(B33:B48)</f>
        <v>1457564</v>
      </c>
      <c r="C49" s="26">
        <f t="shared" si="7"/>
        <v>1424397</v>
      </c>
      <c r="D49" s="26">
        <f t="shared" si="7"/>
        <v>1466720</v>
      </c>
      <c r="E49" s="27">
        <f t="shared" si="7"/>
        <v>1328872</v>
      </c>
      <c r="F49" s="26">
        <f t="shared" si="7"/>
        <v>1551321</v>
      </c>
      <c r="G49" s="26">
        <f t="shared" si="7"/>
        <v>1737514</v>
      </c>
      <c r="H49" s="26">
        <f t="shared" si="7"/>
        <v>1731232.62</v>
      </c>
      <c r="I49" s="26">
        <f t="shared" si="7"/>
        <v>1079638</v>
      </c>
      <c r="J49" s="26">
        <f t="shared" si="7"/>
        <v>1457656</v>
      </c>
      <c r="K49" s="26">
        <f t="shared" ref="K49:L49" si="8">SUM(K33:K48)</f>
        <v>1513900</v>
      </c>
      <c r="L49" s="26">
        <f t="shared" si="8"/>
        <v>1347640</v>
      </c>
      <c r="M49" s="19"/>
      <c r="N49" s="19"/>
      <c r="O49" s="19"/>
      <c r="P49" s="15"/>
      <c r="Q49" s="15"/>
      <c r="R49" s="15"/>
    </row>
    <row r="50" spans="1:18" ht="15" x14ac:dyDescent="0.2">
      <c r="A50" s="10"/>
      <c r="B50" s="15"/>
      <c r="C50" s="15"/>
      <c r="D50" s="15"/>
      <c r="E50" s="9"/>
      <c r="F50" s="15"/>
      <c r="G50" s="15"/>
      <c r="H50" s="15"/>
      <c r="I50" s="15"/>
      <c r="J50" s="15"/>
      <c r="K50" s="15"/>
      <c r="L50" s="15"/>
      <c r="M50" s="19"/>
      <c r="N50" s="19"/>
      <c r="O50" s="10"/>
      <c r="P50" s="15"/>
      <c r="Q50" s="15"/>
      <c r="R50" s="15"/>
    </row>
    <row r="51" spans="1:18" ht="15" x14ac:dyDescent="0.2">
      <c r="A51" s="10" t="s">
        <v>62</v>
      </c>
      <c r="B51" s="15"/>
      <c r="C51" s="15"/>
      <c r="D51" s="15"/>
      <c r="E51" s="9"/>
      <c r="F51" s="15"/>
      <c r="G51" s="15"/>
      <c r="H51" s="15"/>
      <c r="I51" s="15"/>
      <c r="J51" s="15"/>
      <c r="K51" s="15"/>
      <c r="L51" s="15"/>
      <c r="M51" s="19"/>
      <c r="N51" s="19"/>
      <c r="O51" s="19"/>
      <c r="P51" s="15"/>
      <c r="Q51" s="15"/>
      <c r="R51" s="15"/>
    </row>
    <row r="52" spans="1:18" ht="15" x14ac:dyDescent="0.2">
      <c r="A52" s="10" t="s">
        <v>63</v>
      </c>
      <c r="B52" s="15"/>
      <c r="C52" s="15"/>
      <c r="D52" s="15"/>
      <c r="E52" s="9"/>
      <c r="F52" s="15"/>
      <c r="G52" s="24">
        <v>46872</v>
      </c>
      <c r="H52" s="15">
        <v>76368</v>
      </c>
      <c r="I52" s="15">
        <v>66016</v>
      </c>
      <c r="J52" s="15">
        <v>66016</v>
      </c>
      <c r="K52" s="15">
        <v>73957</v>
      </c>
      <c r="L52" s="15">
        <v>73957</v>
      </c>
      <c r="M52" s="21" t="s">
        <v>104</v>
      </c>
      <c r="N52" s="19"/>
      <c r="O52" s="19"/>
      <c r="P52" s="9"/>
      <c r="Q52" s="15"/>
      <c r="R52" s="9"/>
    </row>
    <row r="53" spans="1:18" ht="15" x14ac:dyDescent="0.2">
      <c r="A53" s="10" t="s">
        <v>67</v>
      </c>
      <c r="B53" s="15"/>
      <c r="C53" s="15"/>
      <c r="D53" s="15"/>
      <c r="E53" s="9"/>
      <c r="F53" s="15"/>
      <c r="G53" s="24"/>
      <c r="H53" s="15">
        <v>37687.379999999997</v>
      </c>
      <c r="I53" s="15">
        <v>33008</v>
      </c>
      <c r="J53" s="15">
        <v>33008</v>
      </c>
      <c r="K53" s="15">
        <v>50250</v>
      </c>
      <c r="L53" s="15">
        <v>50250</v>
      </c>
      <c r="M53" s="21" t="s">
        <v>104</v>
      </c>
      <c r="N53" s="19"/>
      <c r="O53" s="19"/>
      <c r="P53" s="9"/>
      <c r="Q53" s="15"/>
      <c r="R53" s="9"/>
    </row>
    <row r="54" spans="1:18" ht="15" x14ac:dyDescent="0.2">
      <c r="A54" s="10" t="s">
        <v>64</v>
      </c>
      <c r="B54" s="15"/>
      <c r="C54" s="15"/>
      <c r="D54" s="15"/>
      <c r="E54" s="9"/>
      <c r="F54" s="15"/>
      <c r="G54" s="15"/>
      <c r="H54" s="15">
        <v>77961</v>
      </c>
      <c r="I54" s="15">
        <v>79364</v>
      </c>
      <c r="J54" s="15">
        <v>79396</v>
      </c>
      <c r="K54" s="15">
        <f>+K40</f>
        <v>80793</v>
      </c>
      <c r="L54" s="15">
        <f>+L40</f>
        <v>80793</v>
      </c>
      <c r="M54" s="21" t="s">
        <v>86</v>
      </c>
      <c r="N54" s="19"/>
      <c r="O54" s="19"/>
      <c r="P54" s="15"/>
      <c r="Q54" s="15"/>
      <c r="R54" s="9"/>
    </row>
    <row r="55" spans="1:18" ht="15.75" thickBot="1" x14ac:dyDescent="0.25">
      <c r="A55" s="10" t="s">
        <v>65</v>
      </c>
      <c r="B55" s="15"/>
      <c r="C55" s="15"/>
      <c r="D55" s="15"/>
      <c r="E55" s="9"/>
      <c r="F55" s="15"/>
      <c r="G55" s="16">
        <f>SUM(G49:G54)</f>
        <v>1784386</v>
      </c>
      <c r="H55" s="16">
        <f>SUM(H49:H54)</f>
        <v>1923249</v>
      </c>
      <c r="I55" s="16">
        <f>SUM(I49:I54)</f>
        <v>1258026</v>
      </c>
      <c r="J55" s="16">
        <f>SUM(J49:J54)</f>
        <v>1636076</v>
      </c>
      <c r="K55" s="16">
        <f>SUM(K49:K54)</f>
        <v>1718900</v>
      </c>
      <c r="L55" s="16">
        <f>SUM(L49:L54)</f>
        <v>1552640</v>
      </c>
      <c r="M55" s="21"/>
      <c r="N55" s="19"/>
      <c r="O55" s="19"/>
      <c r="P55" s="15"/>
      <c r="Q55" s="15"/>
      <c r="R55" s="15"/>
    </row>
    <row r="56" spans="1:18" ht="15.75" thickTop="1" x14ac:dyDescent="0.2">
      <c r="A56" s="10"/>
      <c r="B56" s="11"/>
      <c r="C56" s="11"/>
      <c r="D56" s="11"/>
      <c r="E56" s="24"/>
      <c r="F56" s="11"/>
      <c r="G56" s="11"/>
      <c r="H56" s="11"/>
      <c r="I56" s="11"/>
      <c r="J56" s="11"/>
      <c r="K56" s="11"/>
      <c r="L56" s="44"/>
      <c r="M56" s="19"/>
      <c r="N56" s="19"/>
    </row>
    <row r="57" spans="1:18" ht="15.75" x14ac:dyDescent="0.25">
      <c r="A57" s="23" t="s">
        <v>30</v>
      </c>
      <c r="B57" s="11"/>
      <c r="C57" s="11"/>
      <c r="D57" s="11"/>
      <c r="E57" s="24"/>
      <c r="F57" s="11"/>
      <c r="G57" s="11"/>
      <c r="H57" s="11"/>
      <c r="I57" s="11"/>
      <c r="J57" s="11"/>
      <c r="K57" s="11"/>
      <c r="L57" s="44"/>
      <c r="M57" s="19"/>
      <c r="N57" s="19"/>
    </row>
    <row r="58" spans="1:18" ht="15" x14ac:dyDescent="0.2">
      <c r="A58" s="10" t="s">
        <v>7</v>
      </c>
      <c r="B58" s="11">
        <v>19000</v>
      </c>
      <c r="C58" s="11"/>
      <c r="D58" s="11"/>
      <c r="E58" s="24"/>
      <c r="F58" s="11"/>
      <c r="G58" s="11"/>
      <c r="H58" s="11"/>
      <c r="I58" s="11"/>
      <c r="J58" s="11"/>
      <c r="K58" s="11"/>
      <c r="L58" s="44"/>
      <c r="M58" s="19"/>
      <c r="N58" s="19"/>
    </row>
    <row r="59" spans="1:18" ht="15" x14ac:dyDescent="0.2">
      <c r="A59" s="10" t="s">
        <v>59</v>
      </c>
      <c r="B59" s="11"/>
      <c r="C59" s="11"/>
      <c r="D59" s="11"/>
      <c r="E59" s="24"/>
      <c r="F59" s="11"/>
      <c r="G59" s="11">
        <v>22850</v>
      </c>
      <c r="H59" s="11"/>
      <c r="I59" s="11"/>
      <c r="J59" s="11"/>
      <c r="K59" s="11">
        <v>15439</v>
      </c>
      <c r="L59" s="11">
        <v>15439</v>
      </c>
      <c r="M59" s="19"/>
      <c r="N59" s="19"/>
    </row>
    <row r="60" spans="1:18" ht="15" x14ac:dyDescent="0.2">
      <c r="A60" s="10" t="s">
        <v>46</v>
      </c>
      <c r="B60" s="11"/>
      <c r="C60" s="11"/>
      <c r="D60" s="11"/>
      <c r="E60" s="24"/>
      <c r="F60" s="11"/>
      <c r="G60" s="11"/>
      <c r="H60" s="11"/>
      <c r="I60" s="11"/>
      <c r="J60" s="11"/>
      <c r="K60" s="11"/>
      <c r="L60" s="11"/>
      <c r="M60" s="19"/>
      <c r="N60" s="19"/>
    </row>
    <row r="61" spans="1:18" ht="15" x14ac:dyDescent="0.2">
      <c r="A61" s="10" t="s">
        <v>45</v>
      </c>
      <c r="B61" s="11">
        <v>24000</v>
      </c>
      <c r="C61" s="11"/>
      <c r="D61" s="11"/>
      <c r="E61" s="24"/>
      <c r="F61" s="11"/>
      <c r="G61" s="11"/>
      <c r="H61" s="11">
        <v>53465</v>
      </c>
      <c r="I61" s="11"/>
      <c r="J61" s="11"/>
      <c r="K61" s="11"/>
      <c r="L61" s="11"/>
      <c r="M61" s="19"/>
      <c r="N61" s="19"/>
    </row>
    <row r="62" spans="1:18" ht="15" x14ac:dyDescent="0.2">
      <c r="A62" s="10" t="s">
        <v>82</v>
      </c>
      <c r="B62" s="11"/>
      <c r="C62" s="11"/>
      <c r="D62" s="11"/>
      <c r="E62" s="24"/>
      <c r="F62" s="11">
        <v>132000</v>
      </c>
      <c r="G62" s="11"/>
      <c r="H62" s="11"/>
      <c r="I62" s="11"/>
      <c r="J62" s="11"/>
      <c r="K62" s="11">
        <v>47.3</v>
      </c>
      <c r="L62" s="11">
        <v>47.3</v>
      </c>
      <c r="M62" s="19"/>
      <c r="N62" s="19"/>
    </row>
    <row r="63" spans="1:18" ht="15" x14ac:dyDescent="0.2">
      <c r="A63" s="10" t="s">
        <v>87</v>
      </c>
      <c r="B63" s="11"/>
      <c r="C63" s="11"/>
      <c r="D63" s="11"/>
      <c r="E63" s="24"/>
      <c r="F63" s="11">
        <v>44700</v>
      </c>
      <c r="G63" s="11"/>
      <c r="H63" s="11"/>
      <c r="I63" s="11"/>
      <c r="J63" s="11"/>
      <c r="K63" s="11">
        <v>820.49</v>
      </c>
      <c r="L63" s="11">
        <v>820.49</v>
      </c>
      <c r="M63" s="19"/>
      <c r="N63" s="19"/>
    </row>
    <row r="64" spans="1:18" ht="15" x14ac:dyDescent="0.2">
      <c r="A64" s="10" t="s">
        <v>47</v>
      </c>
      <c r="B64" s="11">
        <v>12000</v>
      </c>
      <c r="C64" s="11">
        <v>274055</v>
      </c>
      <c r="D64" s="11">
        <v>113000</v>
      </c>
      <c r="E64" s="24">
        <v>136000</v>
      </c>
      <c r="F64" s="24"/>
      <c r="G64" s="24"/>
      <c r="H64" s="24"/>
      <c r="I64" s="24"/>
      <c r="J64" s="24"/>
      <c r="K64" s="24"/>
      <c r="L64" s="24"/>
      <c r="M64" s="19"/>
      <c r="N64" s="19"/>
    </row>
    <row r="65" spans="1:14" ht="15" x14ac:dyDescent="0.2">
      <c r="A65" s="10" t="s">
        <v>48</v>
      </c>
      <c r="B65" s="11">
        <v>154182</v>
      </c>
      <c r="C65" s="11">
        <v>0</v>
      </c>
      <c r="D65" s="11"/>
      <c r="E65" s="24"/>
      <c r="F65" s="11"/>
      <c r="G65" s="11"/>
      <c r="H65" s="11"/>
      <c r="I65" s="11"/>
      <c r="J65" s="11"/>
      <c r="K65" s="11"/>
      <c r="L65" s="11"/>
      <c r="M65" s="19"/>
      <c r="N65" s="19"/>
    </row>
    <row r="66" spans="1:14" ht="15" x14ac:dyDescent="0.2">
      <c r="A66" s="10" t="s">
        <v>57</v>
      </c>
      <c r="B66" s="11"/>
      <c r="C66" s="11"/>
      <c r="D66" s="11">
        <v>15000</v>
      </c>
      <c r="E66" s="24">
        <v>0</v>
      </c>
      <c r="F66" s="11"/>
      <c r="G66" s="11"/>
      <c r="H66" s="11"/>
      <c r="I66" s="11"/>
      <c r="J66" s="11"/>
      <c r="K66" s="11"/>
      <c r="L66" s="11"/>
      <c r="M66" s="19"/>
      <c r="N66" s="19"/>
    </row>
    <row r="67" spans="1:14" ht="15" x14ac:dyDescent="0.2">
      <c r="A67" s="10" t="s">
        <v>1</v>
      </c>
      <c r="B67" s="11">
        <v>89400</v>
      </c>
      <c r="C67" s="11">
        <v>94215</v>
      </c>
      <c r="D67" s="11">
        <v>86738</v>
      </c>
      <c r="E67" s="24">
        <v>80350</v>
      </c>
      <c r="F67" s="11">
        <v>102150</v>
      </c>
      <c r="G67" s="11">
        <v>97525</v>
      </c>
      <c r="H67" s="11">
        <v>234574</v>
      </c>
      <c r="I67" s="11">
        <v>95400</v>
      </c>
      <c r="J67" s="11">
        <v>95400</v>
      </c>
      <c r="K67" s="11">
        <v>79750</v>
      </c>
      <c r="L67" s="11">
        <v>79750</v>
      </c>
      <c r="M67" s="19"/>
      <c r="N67" s="19"/>
    </row>
    <row r="68" spans="1:14" ht="15" x14ac:dyDescent="0.2">
      <c r="A68" s="10" t="s">
        <v>34</v>
      </c>
      <c r="B68" s="26">
        <f t="shared" ref="B68:H68" si="9">SUM(B58:B67)</f>
        <v>298582</v>
      </c>
      <c r="C68" s="26">
        <f t="shared" si="9"/>
        <v>368270</v>
      </c>
      <c r="D68" s="26">
        <f t="shared" si="9"/>
        <v>214738</v>
      </c>
      <c r="E68" s="27">
        <f t="shared" si="9"/>
        <v>216350</v>
      </c>
      <c r="F68" s="26">
        <f t="shared" si="9"/>
        <v>278850</v>
      </c>
      <c r="G68" s="26">
        <f t="shared" si="9"/>
        <v>120375</v>
      </c>
      <c r="H68" s="26">
        <f t="shared" si="9"/>
        <v>288039</v>
      </c>
      <c r="I68" s="26">
        <f>SUM(I58:I67)</f>
        <v>95400</v>
      </c>
      <c r="J68" s="26">
        <f>SUM(J58:J67)</f>
        <v>95400</v>
      </c>
      <c r="K68" s="26">
        <f>SUM(K58:K67)</f>
        <v>96056.79</v>
      </c>
      <c r="L68" s="26">
        <f>SUM(L58:L67)</f>
        <v>96056.79</v>
      </c>
      <c r="M68" s="19"/>
      <c r="N68" s="19"/>
    </row>
    <row r="69" spans="1:14" ht="15.75" x14ac:dyDescent="0.25">
      <c r="A69" s="10"/>
      <c r="B69" s="7"/>
      <c r="C69" s="7"/>
      <c r="D69" s="11"/>
      <c r="E69" s="24"/>
      <c r="F69" s="11"/>
      <c r="G69" s="11"/>
      <c r="H69" s="11"/>
      <c r="I69" s="11"/>
      <c r="J69" s="11"/>
      <c r="K69" s="11"/>
      <c r="L69" s="11"/>
      <c r="M69" s="19"/>
      <c r="N69" s="19"/>
    </row>
    <row r="70" spans="1:14" ht="15.75" x14ac:dyDescent="0.25">
      <c r="A70" s="23" t="s">
        <v>31</v>
      </c>
      <c r="B70" s="7"/>
      <c r="C70" s="7"/>
      <c r="D70" s="11"/>
      <c r="E70" s="24"/>
      <c r="F70" s="11"/>
      <c r="G70" s="11"/>
      <c r="H70" s="11"/>
      <c r="I70" s="11"/>
      <c r="J70" s="11"/>
      <c r="K70" s="11"/>
      <c r="L70" s="11"/>
      <c r="M70" s="19"/>
      <c r="N70" s="19"/>
    </row>
    <row r="71" spans="1:14" ht="15" x14ac:dyDescent="0.2">
      <c r="A71" s="10" t="s">
        <v>32</v>
      </c>
      <c r="B71" s="11"/>
      <c r="C71" s="11"/>
      <c r="D71" s="11"/>
      <c r="E71" s="24"/>
      <c r="F71" s="11"/>
      <c r="G71" s="11">
        <v>201000</v>
      </c>
      <c r="H71" s="11">
        <v>194000</v>
      </c>
      <c r="I71" s="11">
        <v>370044</v>
      </c>
      <c r="J71" s="11">
        <f>-463+370507</f>
        <v>370044</v>
      </c>
      <c r="K71" s="11">
        <v>471792</v>
      </c>
      <c r="L71" s="11">
        <v>471792</v>
      </c>
      <c r="M71" s="19"/>
      <c r="N71" s="19"/>
    </row>
    <row r="72" spans="1:14" ht="15" x14ac:dyDescent="0.2">
      <c r="A72" s="10" t="s">
        <v>33</v>
      </c>
      <c r="B72" s="14">
        <v>250000</v>
      </c>
      <c r="C72" s="14">
        <v>250000</v>
      </c>
      <c r="D72" s="14">
        <v>250000</v>
      </c>
      <c r="E72" s="30">
        <v>250000</v>
      </c>
      <c r="F72" s="14">
        <v>250000</v>
      </c>
      <c r="G72" s="14">
        <v>200000</v>
      </c>
      <c r="H72" s="30">
        <v>150000</v>
      </c>
      <c r="I72" s="30">
        <v>100000</v>
      </c>
      <c r="J72" s="30">
        <v>100000</v>
      </c>
      <c r="K72" s="30"/>
      <c r="L72" s="30"/>
      <c r="M72" s="19"/>
      <c r="N72" s="19"/>
    </row>
    <row r="73" spans="1:14" ht="15" x14ac:dyDescent="0.2">
      <c r="A73" s="10" t="s">
        <v>35</v>
      </c>
      <c r="B73" s="26">
        <f t="shared" ref="B73:H73" si="10">SUM(B71:B72)</f>
        <v>250000</v>
      </c>
      <c r="C73" s="26">
        <f t="shared" si="10"/>
        <v>250000</v>
      </c>
      <c r="D73" s="26">
        <f t="shared" si="10"/>
        <v>250000</v>
      </c>
      <c r="E73" s="27">
        <f t="shared" si="10"/>
        <v>250000</v>
      </c>
      <c r="F73" s="26">
        <f t="shared" si="10"/>
        <v>250000</v>
      </c>
      <c r="G73" s="26">
        <f>SUM(G71:G72)</f>
        <v>401000</v>
      </c>
      <c r="H73" s="26">
        <f t="shared" si="10"/>
        <v>344000</v>
      </c>
      <c r="I73" s="26">
        <f>SUM(I71:I72)</f>
        <v>470044</v>
      </c>
      <c r="J73" s="26">
        <f>SUM(J71:J72)</f>
        <v>470044</v>
      </c>
      <c r="K73" s="26">
        <f>SUM(K71:K72)</f>
        <v>471792</v>
      </c>
      <c r="L73" s="26">
        <f>SUM(L71:L72)</f>
        <v>471792</v>
      </c>
      <c r="M73" s="19"/>
      <c r="N73" s="19"/>
    </row>
    <row r="74" spans="1:14" ht="15" x14ac:dyDescent="0.2">
      <c r="A74" s="10"/>
      <c r="B74" s="11">
        <f>+A74</f>
        <v>0</v>
      </c>
      <c r="C74" s="11">
        <f>+B74</f>
        <v>0</v>
      </c>
      <c r="D74" s="11">
        <f>+C74</f>
        <v>0</v>
      </c>
      <c r="E74" s="24">
        <f>+D74</f>
        <v>0</v>
      </c>
      <c r="F74" s="11">
        <f>+D74</f>
        <v>0</v>
      </c>
      <c r="G74" s="11">
        <f>+E74</f>
        <v>0</v>
      </c>
      <c r="H74" s="11">
        <f>+E74</f>
        <v>0</v>
      </c>
      <c r="I74" s="11"/>
      <c r="J74" s="11">
        <f>+F74</f>
        <v>0</v>
      </c>
      <c r="K74" s="11">
        <f>+G74</f>
        <v>0</v>
      </c>
      <c r="L74" s="11">
        <f>+H74</f>
        <v>0</v>
      </c>
      <c r="M74" s="19"/>
      <c r="N74" s="19"/>
    </row>
    <row r="75" spans="1:14" ht="15.75" thickBot="1" x14ac:dyDescent="0.25">
      <c r="A75" s="10" t="s">
        <v>42</v>
      </c>
      <c r="B75" s="16">
        <f t="shared" ref="B75:J75" si="11">+B73+B68+B49+B28+B16</f>
        <v>16880330</v>
      </c>
      <c r="C75" s="16">
        <f t="shared" si="11"/>
        <v>17467389</v>
      </c>
      <c r="D75" s="16">
        <f t="shared" si="11"/>
        <v>17883212</v>
      </c>
      <c r="E75" s="31">
        <f t="shared" si="11"/>
        <v>18250855</v>
      </c>
      <c r="F75" s="16">
        <f t="shared" si="11"/>
        <v>19163541</v>
      </c>
      <c r="G75" s="16">
        <f t="shared" si="11"/>
        <v>20399308.969999999</v>
      </c>
      <c r="H75" s="16">
        <f t="shared" si="11"/>
        <v>21550511.620000001</v>
      </c>
      <c r="I75" s="16">
        <f t="shared" si="11"/>
        <v>22407211</v>
      </c>
      <c r="J75" s="16">
        <f t="shared" si="11"/>
        <v>22092528</v>
      </c>
      <c r="K75" s="16">
        <f t="shared" ref="K75:L75" si="12">+K73+K68+K49+K28+K16</f>
        <v>23476087.789999999</v>
      </c>
      <c r="L75" s="16">
        <f t="shared" si="12"/>
        <v>23189200.789999999</v>
      </c>
      <c r="M75" s="19"/>
      <c r="N75" s="19"/>
    </row>
    <row r="76" spans="1:14" ht="15.75" thickTop="1" x14ac:dyDescent="0.2">
      <c r="A76" s="10"/>
      <c r="B76" s="11"/>
      <c r="C76" s="11"/>
      <c r="D76" s="11"/>
      <c r="E76" s="24"/>
      <c r="F76" s="11"/>
      <c r="G76" s="11"/>
      <c r="H76" s="11"/>
      <c r="I76" s="11"/>
      <c r="J76" s="11"/>
      <c r="K76" s="11"/>
      <c r="L76" s="44">
        <f>+L75-K75</f>
        <v>-286887</v>
      </c>
      <c r="M76" s="19" t="s">
        <v>105</v>
      </c>
      <c r="N76" s="19"/>
    </row>
    <row r="77" spans="1:14" ht="15" x14ac:dyDescent="0.2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45"/>
      <c r="M77" s="19" t="s">
        <v>107</v>
      </c>
      <c r="N77" s="19"/>
    </row>
    <row r="78" spans="1:14" ht="15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44"/>
      <c r="M78" s="19"/>
      <c r="N78" s="19"/>
    </row>
    <row r="79" spans="1:14" ht="15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44"/>
      <c r="M79" s="19"/>
      <c r="N79" s="19"/>
    </row>
    <row r="80" spans="1:14" ht="15" x14ac:dyDescent="0.2">
      <c r="A80" s="17" t="s">
        <v>69</v>
      </c>
      <c r="B80" s="26"/>
      <c r="C80" s="26"/>
      <c r="D80" s="26"/>
      <c r="E80" s="26"/>
      <c r="F80" s="26"/>
      <c r="G80" s="26"/>
      <c r="H80" s="26"/>
      <c r="I80" s="26"/>
      <c r="J80" s="33"/>
      <c r="K80" s="33"/>
      <c r="L80" s="44"/>
      <c r="M80" s="19"/>
      <c r="N80" s="19"/>
    </row>
    <row r="81" spans="1:14" ht="15" x14ac:dyDescent="0.2">
      <c r="A81" s="18" t="s">
        <v>36</v>
      </c>
      <c r="B81" s="15"/>
      <c r="C81" s="15"/>
      <c r="D81" s="15"/>
      <c r="E81" s="15"/>
      <c r="F81" s="15"/>
      <c r="G81" s="15"/>
      <c r="H81" s="15"/>
      <c r="I81" s="15"/>
      <c r="J81" s="34">
        <v>158792</v>
      </c>
      <c r="K81" s="34">
        <v>161586</v>
      </c>
      <c r="L81" s="44"/>
      <c r="M81" s="19"/>
      <c r="N81" s="19"/>
    </row>
    <row r="82" spans="1:14" ht="15" x14ac:dyDescent="0.2">
      <c r="A82" s="18"/>
      <c r="B82" s="15"/>
      <c r="C82" s="15"/>
      <c r="D82" s="15"/>
      <c r="E82" s="15"/>
      <c r="F82" s="15"/>
      <c r="G82" s="15"/>
      <c r="H82" s="15"/>
      <c r="I82" s="15"/>
      <c r="J82" s="34"/>
      <c r="K82" s="34"/>
      <c r="L82" s="44"/>
      <c r="M82" s="19"/>
      <c r="N82" s="19"/>
    </row>
    <row r="83" spans="1:14" ht="15" x14ac:dyDescent="0.2">
      <c r="A83" s="18" t="s">
        <v>77</v>
      </c>
      <c r="B83" s="15"/>
      <c r="C83" s="15"/>
      <c r="D83" s="15"/>
      <c r="E83" s="15"/>
      <c r="F83" s="15"/>
      <c r="G83" s="15"/>
      <c r="H83" s="15"/>
      <c r="I83" s="15"/>
      <c r="J83" s="36">
        <f>ROUND((+J81/2),0)</f>
        <v>79396</v>
      </c>
      <c r="K83" s="36">
        <f>ROUND((+K81/2),0)</f>
        <v>80793</v>
      </c>
      <c r="L83" s="44"/>
      <c r="M83" s="19"/>
      <c r="N83" s="19"/>
    </row>
    <row r="84" spans="1:14" ht="15" x14ac:dyDescent="0.2">
      <c r="A84" s="18" t="s">
        <v>70</v>
      </c>
      <c r="B84" s="15"/>
      <c r="C84" s="15"/>
      <c r="D84" s="15"/>
      <c r="E84" s="15"/>
      <c r="F84" s="15"/>
      <c r="G84" s="15"/>
      <c r="H84" s="15"/>
      <c r="I84" s="15"/>
      <c r="J84" s="37">
        <f>+J83</f>
        <v>79396</v>
      </c>
      <c r="K84" s="37">
        <f>+K83</f>
        <v>80793</v>
      </c>
      <c r="L84" s="44"/>
      <c r="M84" s="19"/>
      <c r="N84" s="19"/>
    </row>
    <row r="85" spans="1:14" ht="15" x14ac:dyDescent="0.2">
      <c r="A85" s="18"/>
      <c r="B85" s="15"/>
      <c r="C85" s="15"/>
      <c r="D85" s="15"/>
      <c r="E85" s="15"/>
      <c r="F85" s="15"/>
      <c r="G85" s="15"/>
      <c r="H85" s="15"/>
      <c r="I85" s="15"/>
      <c r="J85" s="34"/>
      <c r="K85" s="34"/>
      <c r="L85" s="44"/>
      <c r="M85" s="19"/>
      <c r="N85" s="19"/>
    </row>
    <row r="86" spans="1:14" ht="15" x14ac:dyDescent="0.2">
      <c r="A86" s="18" t="s">
        <v>71</v>
      </c>
      <c r="B86" s="15"/>
      <c r="C86" s="15"/>
      <c r="D86" s="15"/>
      <c r="E86" s="15"/>
      <c r="F86" s="15"/>
      <c r="G86" s="15"/>
      <c r="H86" s="15"/>
      <c r="I86" s="15"/>
      <c r="J86" s="36">
        <f>ROUND((+J83*0.485),0)</f>
        <v>38507</v>
      </c>
      <c r="K86" s="36">
        <f>ROUND((+K83*0.485),0)</f>
        <v>39185</v>
      </c>
      <c r="L86" s="44"/>
      <c r="M86" s="19"/>
      <c r="N86" s="19"/>
    </row>
    <row r="87" spans="1:14" ht="15" x14ac:dyDescent="0.2">
      <c r="A87" s="18" t="s">
        <v>72</v>
      </c>
      <c r="B87" s="15"/>
      <c r="C87" s="15"/>
      <c r="D87" s="15"/>
      <c r="E87" s="15"/>
      <c r="F87" s="15"/>
      <c r="G87" s="15"/>
      <c r="H87" s="15"/>
      <c r="I87" s="15"/>
      <c r="J87" s="38">
        <f>+J83-J86</f>
        <v>40889</v>
      </c>
      <c r="K87" s="38">
        <f>+K83-K86</f>
        <v>41608</v>
      </c>
      <c r="L87" s="44"/>
      <c r="M87" s="19"/>
      <c r="N87" s="19"/>
    </row>
    <row r="88" spans="1:14" ht="15" x14ac:dyDescent="0.2">
      <c r="A88" s="18"/>
      <c r="B88" s="15"/>
      <c r="C88" s="15"/>
      <c r="D88" s="15"/>
      <c r="E88" s="15"/>
      <c r="F88" s="15"/>
      <c r="G88" s="15"/>
      <c r="H88" s="15"/>
      <c r="I88" s="15"/>
      <c r="J88" s="38"/>
      <c r="K88" s="38"/>
      <c r="L88" s="44"/>
      <c r="M88" s="19"/>
      <c r="N88" s="19"/>
    </row>
    <row r="89" spans="1:14" ht="15" x14ac:dyDescent="0.2">
      <c r="A89" s="18" t="s">
        <v>73</v>
      </c>
      <c r="B89" s="15"/>
      <c r="C89" s="15"/>
      <c r="D89" s="15"/>
      <c r="E89" s="15"/>
      <c r="F89" s="15"/>
      <c r="G89" s="15"/>
      <c r="H89" s="15"/>
      <c r="I89" s="15"/>
      <c r="J89" s="38">
        <f>+J86</f>
        <v>38507</v>
      </c>
      <c r="K89" s="38">
        <f>+K86</f>
        <v>39185</v>
      </c>
      <c r="L89" s="44"/>
      <c r="M89" s="19"/>
      <c r="N89" s="19"/>
    </row>
    <row r="90" spans="1:14" ht="15" x14ac:dyDescent="0.2">
      <c r="A90" s="18" t="s">
        <v>74</v>
      </c>
      <c r="B90" s="15"/>
      <c r="C90" s="15"/>
      <c r="D90" s="15"/>
      <c r="E90" s="15"/>
      <c r="F90" s="15"/>
      <c r="G90" s="15"/>
      <c r="H90" s="15"/>
      <c r="I90" s="15"/>
      <c r="J90" s="37">
        <f>+J87</f>
        <v>40889</v>
      </c>
      <c r="K90" s="37">
        <f>+K87</f>
        <v>41608</v>
      </c>
      <c r="L90" s="44"/>
      <c r="M90" s="19"/>
      <c r="N90" s="19"/>
    </row>
    <row r="91" spans="1:14" ht="15" x14ac:dyDescent="0.2">
      <c r="A91" s="18"/>
      <c r="B91" s="15"/>
      <c r="C91" s="15"/>
      <c r="D91" s="15"/>
      <c r="E91" s="15"/>
      <c r="F91" s="15"/>
      <c r="G91" s="15"/>
      <c r="H91" s="15"/>
      <c r="I91" s="15"/>
      <c r="J91" s="34"/>
      <c r="K91" s="34"/>
      <c r="L91" s="44"/>
      <c r="M91" s="19"/>
      <c r="N91" s="19"/>
    </row>
    <row r="92" spans="1:14" ht="15" x14ac:dyDescent="0.2">
      <c r="A92" s="20" t="s">
        <v>75</v>
      </c>
      <c r="B92" s="14"/>
      <c r="C92" s="14"/>
      <c r="D92" s="14"/>
      <c r="E92" s="14"/>
      <c r="F92" s="14"/>
      <c r="G92" s="14"/>
      <c r="H92" s="14"/>
      <c r="I92" s="14"/>
      <c r="J92" s="35">
        <f>SUM(J86:J90)</f>
        <v>158792</v>
      </c>
      <c r="K92" s="35">
        <f>SUM(K86:K90)</f>
        <v>161586</v>
      </c>
      <c r="L92" s="44"/>
      <c r="M92" s="19"/>
      <c r="N92" s="19"/>
    </row>
    <row r="93" spans="1:14" ht="15" x14ac:dyDescent="0.2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44"/>
      <c r="M93" s="19"/>
      <c r="N93" s="19"/>
    </row>
    <row r="94" spans="1:14" ht="15" x14ac:dyDescent="0.2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44"/>
      <c r="M94" s="19"/>
      <c r="N94" s="19"/>
    </row>
    <row r="95" spans="1:14" x14ac:dyDescent="0.2">
      <c r="B95" s="3"/>
    </row>
    <row r="96" spans="1:14" ht="157.5" customHeight="1" x14ac:dyDescent="0.2">
      <c r="A96" s="42" t="s">
        <v>76</v>
      </c>
      <c r="B96" s="42"/>
      <c r="C96" s="42"/>
      <c r="D96" s="42"/>
      <c r="E96" s="42"/>
      <c r="F96" s="42"/>
      <c r="G96" s="42"/>
      <c r="H96" s="42"/>
      <c r="I96" s="42"/>
      <c r="J96" s="42"/>
      <c r="K96" s="39"/>
    </row>
    <row r="111" spans="2:3" x14ac:dyDescent="0.2">
      <c r="B111" s="4"/>
      <c r="C111" s="4"/>
    </row>
    <row r="127" spans="2:3" x14ac:dyDescent="0.2">
      <c r="B127" s="4"/>
      <c r="C127" s="4"/>
    </row>
    <row r="136" spans="2:3" x14ac:dyDescent="0.2">
      <c r="B136" s="4"/>
      <c r="C136" s="4"/>
    </row>
    <row r="142" spans="2:3" x14ac:dyDescent="0.2">
      <c r="B142" s="4"/>
      <c r="C142" s="4"/>
    </row>
    <row r="151" spans="2:3" x14ac:dyDescent="0.2">
      <c r="B151" s="4"/>
      <c r="C151" s="4"/>
    </row>
    <row r="166" spans="2:3" x14ac:dyDescent="0.2">
      <c r="B166" s="4"/>
      <c r="C166" s="4"/>
    </row>
    <row r="167" spans="2:3" x14ac:dyDescent="0.2">
      <c r="B167" s="3"/>
      <c r="C167" s="3"/>
    </row>
    <row r="177" spans="2:3" x14ac:dyDescent="0.2">
      <c r="B177" s="2"/>
      <c r="C177" s="2"/>
    </row>
  </sheetData>
  <mergeCells count="1">
    <mergeCell ref="A96:J96"/>
  </mergeCells>
  <phoneticPr fontId="0" type="noConversion"/>
  <hyperlinks>
    <hyperlink ref="A2" location="'Table of Contents'!A1" display="TOC"/>
  </hyperlinks>
  <pageMargins left="0.75" right="0.75" top="1" bottom="1" header="0.5" footer="0.5"/>
  <pageSetup scale="93" fitToHeight="0" orientation="portrait" horizontalDpi="300" verticalDpi="300" r:id="rId1"/>
  <headerFooter alignWithMargins="0">
    <oddFooter>&amp;L&amp;D &amp;T&amp;C&amp;F&amp;R&amp;A  &amp;P</oddFooter>
  </headerFooter>
  <rowBreaks count="1" manualBreakCount="1">
    <brk id="46" min="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 Projections Detail</vt:lpstr>
      <vt:lpstr>'Revenue Projections Detail'!Print_Area</vt:lpstr>
      <vt:lpstr>'Revenue Projections Detail'!Print_Titles</vt:lpstr>
    </vt:vector>
  </TitlesOfParts>
  <Company>Town Of Montague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Montague-User</dc:creator>
  <cp:lastModifiedBy>CarolynO-Montague Town Accountant</cp:lastModifiedBy>
  <cp:lastPrinted>2020-03-26T19:38:48Z</cp:lastPrinted>
  <dcterms:created xsi:type="dcterms:W3CDTF">2000-05-08T16:10:41Z</dcterms:created>
  <dcterms:modified xsi:type="dcterms:W3CDTF">2020-04-06T18:49:51Z</dcterms:modified>
</cp:coreProperties>
</file>